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lucru indicatori perf serviciu 2026-2030\studiul si ip serv 2026-2030\ip serv 2026-2030\"/>
    </mc:Choice>
  </mc:AlternateContent>
  <xr:revisionPtr revIDLastSave="0" documentId="13_ncr:1_{98BB34B5-C46A-4CCC-9737-5779D3D12284}" xr6:coauthVersionLast="47" xr6:coauthVersionMax="47" xr10:uidLastSave="{00000000-0000-0000-0000-000000000000}"/>
  <bookViews>
    <workbookView xWindow="-108" yWindow="-108" windowWidth="23256" windowHeight="12456" tabRatio="610" xr2:uid="{FDABE6C1-18DD-44CA-8A86-B3F6A8E739D1}"/>
  </bookViews>
  <sheets>
    <sheet name="Bacau" sheetId="1" r:id="rId1"/>
    <sheet name="Buhusi" sheetId="26" r:id="rId2"/>
    <sheet name="Moinesti" sheetId="3" r:id="rId3"/>
    <sheet name="Darmanesti" sheetId="5" r:id="rId4"/>
    <sheet name="Sarata" sheetId="63" r:id="rId5"/>
    <sheet name="Tg Trotus" sheetId="64" r:id="rId6"/>
    <sheet name="Bogdanesti" sheetId="65" r:id="rId7"/>
    <sheet name="Targu Ocna" sheetId="47" r:id="rId8"/>
    <sheet name="Ardeoani" sheetId="6" r:id="rId9"/>
    <sheet name="Casin" sheetId="29" r:id="rId10"/>
    <sheet name="Cleja" sheetId="30" r:id="rId11"/>
    <sheet name="Cotofanesti" sheetId="31" r:id="rId12"/>
    <sheet name="Dofteana" sheetId="32" r:id="rId13"/>
    <sheet name="Faraoani" sheetId="33" r:id="rId14"/>
    <sheet name="Filipesti" sheetId="34" r:id="rId15"/>
    <sheet name="Hemeius" sheetId="35" r:id="rId16"/>
    <sheet name="Margineni" sheetId="38" r:id="rId17"/>
    <sheet name="Magiresti" sheetId="37" r:id="rId18"/>
    <sheet name="Letea Veche" sheetId="36" r:id="rId19"/>
    <sheet name="Poduri" sheetId="39" r:id="rId20"/>
    <sheet name="Prajesti" sheetId="40" r:id="rId21"/>
    <sheet name="Tamasi" sheetId="43" r:id="rId22"/>
    <sheet name="Tatarasti" sheetId="44" r:id="rId23"/>
    <sheet name="Traian" sheetId="45" r:id="rId24"/>
    <sheet name="Stefan cel Mare" sheetId="41" r:id="rId25"/>
    <sheet name="Saucesti" sheetId="42" r:id="rId26"/>
    <sheet name="Palanca" sheetId="48" r:id="rId27"/>
  </sheets>
  <definedNames>
    <definedName name="_xlnm._FilterDatabase" localSheetId="10" hidden="1">Cleja!$A$12:$C$218</definedName>
  </definedNames>
  <calcPr calcId="191029"/>
</workbook>
</file>

<file path=xl/calcChain.xml><?xml version="1.0" encoding="utf-8"?>
<calcChain xmlns="http://schemas.openxmlformats.org/spreadsheetml/2006/main">
  <c r="H235" i="48" l="1"/>
  <c r="N235" i="48" s="1"/>
  <c r="T235" i="48" s="1"/>
  <c r="Z235" i="48" s="1"/>
  <c r="AF235" i="48" s="1"/>
  <c r="G235" i="48"/>
  <c r="M235" i="48" s="1"/>
  <c r="S235" i="48" s="1"/>
  <c r="Y235" i="48" s="1"/>
  <c r="AE235" i="48" s="1"/>
  <c r="F235" i="48"/>
  <c r="L235" i="48" s="1"/>
  <c r="R235" i="48" s="1"/>
  <c r="X235" i="48" s="1"/>
  <c r="AD235" i="48" s="1"/>
  <c r="E235" i="48"/>
  <c r="K235" i="48" s="1"/>
  <c r="Q235" i="48" s="1"/>
  <c r="W235" i="48" s="1"/>
  <c r="AC235" i="48" s="1"/>
  <c r="AF213" i="48"/>
  <c r="AE213" i="48"/>
  <c r="AD213" i="48"/>
  <c r="AC213" i="48"/>
  <c r="Z215" i="48"/>
  <c r="Y215" i="48"/>
  <c r="X215" i="48"/>
  <c r="W215" i="48"/>
  <c r="Z213" i="48"/>
  <c r="Y213" i="48"/>
  <c r="X213" i="48"/>
  <c r="W213" i="48"/>
  <c r="T213" i="48"/>
  <c r="S213" i="48"/>
  <c r="R213" i="48"/>
  <c r="Q213" i="48"/>
  <c r="N213" i="48"/>
  <c r="M213" i="48"/>
  <c r="L213" i="48"/>
  <c r="K213" i="48"/>
  <c r="H213" i="48"/>
  <c r="G213" i="48"/>
  <c r="F213" i="48"/>
  <c r="E213" i="48"/>
  <c r="AF208" i="48"/>
  <c r="AE208" i="48"/>
  <c r="AD208" i="48"/>
  <c r="AC208" i="48"/>
  <c r="Z208" i="48"/>
  <c r="Y208" i="48"/>
  <c r="X208" i="48"/>
  <c r="W208" i="48"/>
  <c r="T208" i="48"/>
  <c r="S208" i="48"/>
  <c r="R208" i="48"/>
  <c r="Q208" i="48"/>
  <c r="N210" i="48"/>
  <c r="M210" i="48"/>
  <c r="L210" i="48"/>
  <c r="K210" i="48"/>
  <c r="N208" i="48"/>
  <c r="M208" i="48"/>
  <c r="L208" i="48"/>
  <c r="K208" i="48"/>
  <c r="H210" i="48"/>
  <c r="G210" i="48"/>
  <c r="F210" i="48"/>
  <c r="E210" i="48"/>
  <c r="H208" i="48"/>
  <c r="G208" i="48"/>
  <c r="F208" i="48"/>
  <c r="E208" i="48"/>
  <c r="P210" i="48"/>
  <c r="H235" i="42"/>
  <c r="N235" i="42" s="1"/>
  <c r="T235" i="42" s="1"/>
  <c r="Z235" i="42" s="1"/>
  <c r="AF235" i="42" s="1"/>
  <c r="G235" i="42"/>
  <c r="M235" i="42" s="1"/>
  <c r="S235" i="42" s="1"/>
  <c r="Y235" i="42" s="1"/>
  <c r="AE235" i="42" s="1"/>
  <c r="F235" i="42"/>
  <c r="L235" i="42" s="1"/>
  <c r="R235" i="42" s="1"/>
  <c r="X235" i="42" s="1"/>
  <c r="AD235" i="42" s="1"/>
  <c r="E235" i="42"/>
  <c r="K235" i="42" s="1"/>
  <c r="Q235" i="42" s="1"/>
  <c r="W235" i="42" s="1"/>
  <c r="AC235" i="42" s="1"/>
  <c r="AF230" i="42"/>
  <c r="AE230" i="42"/>
  <c r="AD230" i="42"/>
  <c r="AC230" i="42"/>
  <c r="Z230" i="42"/>
  <c r="Y230" i="42"/>
  <c r="X230" i="42"/>
  <c r="W230" i="42"/>
  <c r="AF228" i="42"/>
  <c r="AE228" i="42"/>
  <c r="AD228" i="42"/>
  <c r="AC228" i="42"/>
  <c r="AF227" i="42"/>
  <c r="AE227" i="42"/>
  <c r="AD227" i="42"/>
  <c r="AC227" i="42"/>
  <c r="Z228" i="42"/>
  <c r="Y228" i="42"/>
  <c r="X228" i="42"/>
  <c r="W228" i="42"/>
  <c r="Z227" i="42"/>
  <c r="Y227" i="42"/>
  <c r="X227" i="42"/>
  <c r="W227" i="42"/>
  <c r="AF213" i="42"/>
  <c r="AE213" i="42"/>
  <c r="AD213" i="42"/>
  <c r="AC213" i="42"/>
  <c r="Z215" i="42"/>
  <c r="Y215" i="42"/>
  <c r="X215" i="42"/>
  <c r="W215" i="42"/>
  <c r="Z213" i="42"/>
  <c r="Y213" i="42"/>
  <c r="X213" i="42"/>
  <c r="W213" i="42"/>
  <c r="T213" i="42"/>
  <c r="S213" i="42"/>
  <c r="R213" i="42"/>
  <c r="Q213" i="42"/>
  <c r="N213" i="42"/>
  <c r="M213" i="42"/>
  <c r="L213" i="42"/>
  <c r="K213" i="42"/>
  <c r="H213" i="42"/>
  <c r="G213" i="42"/>
  <c r="F213" i="42"/>
  <c r="E213" i="42"/>
  <c r="AF208" i="42"/>
  <c r="AE208" i="42"/>
  <c r="AD208" i="42"/>
  <c r="AC208" i="42"/>
  <c r="Z208" i="42"/>
  <c r="Y208" i="42"/>
  <c r="X208" i="42"/>
  <c r="W208" i="42"/>
  <c r="Z198" i="42"/>
  <c r="Y198" i="42"/>
  <c r="X198" i="42"/>
  <c r="W198" i="42"/>
  <c r="T208" i="42"/>
  <c r="S208" i="42"/>
  <c r="R208" i="42"/>
  <c r="Q208" i="42"/>
  <c r="N210" i="42"/>
  <c r="M210" i="42"/>
  <c r="L210" i="42"/>
  <c r="K210" i="42"/>
  <c r="N208" i="42"/>
  <c r="M208" i="42"/>
  <c r="L208" i="42"/>
  <c r="K208" i="42"/>
  <c r="H210" i="42"/>
  <c r="G210" i="42"/>
  <c r="F210" i="42"/>
  <c r="E210" i="42"/>
  <c r="H208" i="42"/>
  <c r="G208" i="42"/>
  <c r="F208" i="42"/>
  <c r="E208" i="42"/>
  <c r="AF208" i="41"/>
  <c r="AE208" i="41"/>
  <c r="AD208" i="41"/>
  <c r="AC208" i="41"/>
  <c r="Z208" i="41"/>
  <c r="Y208" i="41"/>
  <c r="X208" i="41"/>
  <c r="W208" i="41"/>
  <c r="T208" i="41"/>
  <c r="S208" i="41"/>
  <c r="R208" i="41"/>
  <c r="Q208" i="41"/>
  <c r="N208" i="41"/>
  <c r="M208" i="41"/>
  <c r="L208" i="41"/>
  <c r="K208" i="41"/>
  <c r="H208" i="41"/>
  <c r="G208" i="41"/>
  <c r="F208" i="41"/>
  <c r="E208" i="41"/>
  <c r="H196" i="41"/>
  <c r="N196" i="41" s="1"/>
  <c r="G196" i="41"/>
  <c r="M196" i="41" s="1"/>
  <c r="F196" i="41"/>
  <c r="L196" i="41" s="1"/>
  <c r="E196" i="41"/>
  <c r="K196" i="41" s="1"/>
  <c r="H235" i="45"/>
  <c r="N235" i="45" s="1"/>
  <c r="T235" i="45" s="1"/>
  <c r="Z235" i="45" s="1"/>
  <c r="AF235" i="45" s="1"/>
  <c r="G235" i="45"/>
  <c r="M235" i="45" s="1"/>
  <c r="S235" i="45" s="1"/>
  <c r="Y235" i="45" s="1"/>
  <c r="AE235" i="45" s="1"/>
  <c r="F235" i="45"/>
  <c r="L235" i="45" s="1"/>
  <c r="R235" i="45" s="1"/>
  <c r="X235" i="45" s="1"/>
  <c r="AD235" i="45" s="1"/>
  <c r="E235" i="45"/>
  <c r="K235" i="45" s="1"/>
  <c r="Q235" i="45" s="1"/>
  <c r="W235" i="45" s="1"/>
  <c r="AC235" i="45" s="1"/>
  <c r="AC233" i="45"/>
  <c r="AD233" i="45"/>
  <c r="AE233" i="45"/>
  <c r="AF233" i="45"/>
  <c r="AC230" i="45"/>
  <c r="AD230" i="45"/>
  <c r="AE230" i="45"/>
  <c r="AF230" i="45"/>
  <c r="AF228" i="45"/>
  <c r="AE228" i="45"/>
  <c r="AD228" i="45"/>
  <c r="AC228" i="45"/>
  <c r="AF227" i="45"/>
  <c r="AE227" i="45"/>
  <c r="AD227" i="45"/>
  <c r="AC227" i="45"/>
  <c r="Z228" i="45"/>
  <c r="Y228" i="45"/>
  <c r="X228" i="45"/>
  <c r="W228" i="45"/>
  <c r="Z227" i="45"/>
  <c r="Y227" i="45"/>
  <c r="X227" i="45"/>
  <c r="W227" i="45"/>
  <c r="AF213" i="45"/>
  <c r="AE213" i="45"/>
  <c r="AD213" i="45"/>
  <c r="AC213" i="45"/>
  <c r="Z213" i="45"/>
  <c r="Y213" i="45"/>
  <c r="X213" i="45"/>
  <c r="W213" i="45"/>
  <c r="T213" i="45"/>
  <c r="S213" i="45"/>
  <c r="R213" i="45"/>
  <c r="Q213" i="45"/>
  <c r="N213" i="45"/>
  <c r="M213" i="45"/>
  <c r="L213" i="45"/>
  <c r="K213" i="45"/>
  <c r="H213" i="45"/>
  <c r="G213" i="45"/>
  <c r="F213" i="45"/>
  <c r="E213" i="45"/>
  <c r="AF208" i="45"/>
  <c r="AE208" i="45"/>
  <c r="AD208" i="45"/>
  <c r="AC208" i="45"/>
  <c r="Z208" i="45"/>
  <c r="Y208" i="45"/>
  <c r="X208" i="45"/>
  <c r="W208" i="45"/>
  <c r="Z198" i="45"/>
  <c r="Y198" i="45"/>
  <c r="X198" i="45"/>
  <c r="W198" i="45"/>
  <c r="T208" i="45"/>
  <c r="S208" i="45"/>
  <c r="R208" i="45"/>
  <c r="Q208" i="45"/>
  <c r="N210" i="45"/>
  <c r="M210" i="45"/>
  <c r="L210" i="45"/>
  <c r="K210" i="45"/>
  <c r="N208" i="45"/>
  <c r="M208" i="45"/>
  <c r="L208" i="45"/>
  <c r="K208" i="45"/>
  <c r="H210" i="45"/>
  <c r="G210" i="45"/>
  <c r="F210" i="45"/>
  <c r="E210" i="45"/>
  <c r="H208" i="45"/>
  <c r="G208" i="45"/>
  <c r="F208" i="45"/>
  <c r="E208" i="45"/>
  <c r="H196" i="45"/>
  <c r="N196" i="45" s="1"/>
  <c r="T196" i="45" s="1"/>
  <c r="Z196" i="45" s="1"/>
  <c r="G196" i="45"/>
  <c r="M196" i="45" s="1"/>
  <c r="S196" i="45" s="1"/>
  <c r="Y196" i="45" s="1"/>
  <c r="F196" i="45"/>
  <c r="L196" i="45" s="1"/>
  <c r="R196" i="45" s="1"/>
  <c r="X196" i="45" s="1"/>
  <c r="E196" i="45"/>
  <c r="K196" i="45" s="1"/>
  <c r="Q196" i="45" s="1"/>
  <c r="W196" i="45" s="1"/>
  <c r="F235" i="44"/>
  <c r="G235" i="44"/>
  <c r="H235" i="44"/>
  <c r="E235" i="44"/>
  <c r="AF208" i="44"/>
  <c r="AE208" i="44"/>
  <c r="AD208" i="44"/>
  <c r="AC208" i="44"/>
  <c r="Z208" i="44"/>
  <c r="Y208" i="44"/>
  <c r="X208" i="44"/>
  <c r="W208" i="44"/>
  <c r="T208" i="44"/>
  <c r="S208" i="44"/>
  <c r="R208" i="44"/>
  <c r="Q208" i="44"/>
  <c r="N208" i="44"/>
  <c r="M208" i="44"/>
  <c r="L208" i="44"/>
  <c r="K208" i="44"/>
  <c r="H208" i="44"/>
  <c r="G208" i="44"/>
  <c r="F208" i="44"/>
  <c r="E208" i="44"/>
  <c r="F235" i="43"/>
  <c r="G235" i="43"/>
  <c r="H235" i="43"/>
  <c r="E235" i="43"/>
  <c r="AC233" i="43"/>
  <c r="AD233" i="43"/>
  <c r="AE233" i="43"/>
  <c r="AF233" i="43"/>
  <c r="Q233" i="43"/>
  <c r="R233" i="43"/>
  <c r="S233" i="43"/>
  <c r="T233" i="43"/>
  <c r="AF213" i="43"/>
  <c r="AE213" i="43"/>
  <c r="AD213" i="43"/>
  <c r="AC213" i="43"/>
  <c r="Z215" i="43"/>
  <c r="Y215" i="43"/>
  <c r="X215" i="43"/>
  <c r="W215" i="43"/>
  <c r="Z213" i="43"/>
  <c r="Y213" i="43"/>
  <c r="X213" i="43"/>
  <c r="W213" i="43"/>
  <c r="T213" i="43"/>
  <c r="S213" i="43"/>
  <c r="R213" i="43"/>
  <c r="Q213" i="43"/>
  <c r="N213" i="43"/>
  <c r="M213" i="43"/>
  <c r="L213" i="43"/>
  <c r="K213" i="43"/>
  <c r="H213" i="43"/>
  <c r="G213" i="43"/>
  <c r="F213" i="43"/>
  <c r="E213" i="43"/>
  <c r="AF208" i="43"/>
  <c r="AE208" i="43"/>
  <c r="AD208" i="43"/>
  <c r="AC208" i="43"/>
  <c r="Z208" i="43"/>
  <c r="Y208" i="43"/>
  <c r="X208" i="43"/>
  <c r="W208" i="43"/>
  <c r="Z198" i="43"/>
  <c r="Y198" i="43"/>
  <c r="X198" i="43"/>
  <c r="W198" i="43"/>
  <c r="N210" i="43"/>
  <c r="M210" i="43"/>
  <c r="L210" i="43"/>
  <c r="K210" i="43"/>
  <c r="N208" i="43"/>
  <c r="T208" i="43" s="1"/>
  <c r="M208" i="43"/>
  <c r="S208" i="43" s="1"/>
  <c r="L208" i="43"/>
  <c r="R208" i="43" s="1"/>
  <c r="K208" i="43"/>
  <c r="Q208" i="43" s="1"/>
  <c r="H210" i="43"/>
  <c r="G210" i="43"/>
  <c r="F210" i="43"/>
  <c r="E210" i="43"/>
  <c r="H208" i="43"/>
  <c r="G208" i="43"/>
  <c r="F208" i="43"/>
  <c r="E208" i="43"/>
  <c r="J210" i="43"/>
  <c r="F235" i="40"/>
  <c r="L235" i="40" s="1"/>
  <c r="R235" i="40" s="1"/>
  <c r="X235" i="40" s="1"/>
  <c r="AD235" i="40" s="1"/>
  <c r="G235" i="40"/>
  <c r="M235" i="40" s="1"/>
  <c r="S235" i="40" s="1"/>
  <c r="Y235" i="40" s="1"/>
  <c r="AE235" i="40" s="1"/>
  <c r="H235" i="40"/>
  <c r="N235" i="40" s="1"/>
  <c r="T235" i="40" s="1"/>
  <c r="Z235" i="40" s="1"/>
  <c r="AF235" i="40" s="1"/>
  <c r="E235" i="40"/>
  <c r="K235" i="40" s="1"/>
  <c r="Q235" i="40" s="1"/>
  <c r="W235" i="40" s="1"/>
  <c r="AC235" i="40" s="1"/>
  <c r="N210" i="40"/>
  <c r="M210" i="40"/>
  <c r="L210" i="40"/>
  <c r="K210" i="40"/>
  <c r="H210" i="40"/>
  <c r="G210" i="40"/>
  <c r="F210" i="40"/>
  <c r="E210" i="40"/>
  <c r="H208" i="40"/>
  <c r="N208" i="40" s="1"/>
  <c r="T208" i="40" s="1"/>
  <c r="Z208" i="40" s="1"/>
  <c r="AF208" i="40" s="1"/>
  <c r="G208" i="40"/>
  <c r="M208" i="40" s="1"/>
  <c r="S208" i="40" s="1"/>
  <c r="Y208" i="40" s="1"/>
  <c r="AE208" i="40" s="1"/>
  <c r="F208" i="40"/>
  <c r="L208" i="40" s="1"/>
  <c r="R208" i="40" s="1"/>
  <c r="X208" i="40" s="1"/>
  <c r="AD208" i="40" s="1"/>
  <c r="E208" i="40"/>
  <c r="K208" i="40" s="1"/>
  <c r="Q208" i="40" s="1"/>
  <c r="W208" i="40" s="1"/>
  <c r="AC208" i="40" s="1"/>
  <c r="H198" i="40"/>
  <c r="G198" i="40"/>
  <c r="F198" i="40"/>
  <c r="E198" i="40"/>
  <c r="F235" i="39"/>
  <c r="L235" i="39" s="1"/>
  <c r="G235" i="39"/>
  <c r="M235" i="39" s="1"/>
  <c r="H235" i="39"/>
  <c r="N235" i="39" s="1"/>
  <c r="N234" i="39" s="1"/>
  <c r="E235" i="39"/>
  <c r="K235" i="39" s="1"/>
  <c r="K234" i="39" s="1"/>
  <c r="X230" i="39"/>
  <c r="Y230" i="39"/>
  <c r="Z230" i="39"/>
  <c r="W230" i="39"/>
  <c r="V230" i="39"/>
  <c r="AC230" i="39"/>
  <c r="AD230" i="39"/>
  <c r="AE230" i="39"/>
  <c r="AF230" i="39"/>
  <c r="X227" i="39"/>
  <c r="Y227" i="39"/>
  <c r="Z227" i="39"/>
  <c r="X228" i="39"/>
  <c r="Y228" i="39"/>
  <c r="Z228" i="39"/>
  <c r="W228" i="39"/>
  <c r="W227" i="39"/>
  <c r="AC227" i="39"/>
  <c r="AD227" i="39"/>
  <c r="AE227" i="39"/>
  <c r="AF227" i="39"/>
  <c r="AC228" i="39"/>
  <c r="AD228" i="39"/>
  <c r="AE228" i="39"/>
  <c r="AF228" i="39"/>
  <c r="AF213" i="39"/>
  <c r="AE213" i="39"/>
  <c r="AD213" i="39"/>
  <c r="AC213" i="39"/>
  <c r="Z215" i="39"/>
  <c r="Y215" i="39"/>
  <c r="X215" i="39"/>
  <c r="W215" i="39"/>
  <c r="Z213" i="39"/>
  <c r="Y213" i="39"/>
  <c r="X213" i="39"/>
  <c r="W213" i="39"/>
  <c r="X198" i="39"/>
  <c r="Y198" i="39"/>
  <c r="Z198" i="39"/>
  <c r="X208" i="39"/>
  <c r="Y208" i="39"/>
  <c r="Z208" i="39"/>
  <c r="R208" i="39"/>
  <c r="S208" i="39"/>
  <c r="T208" i="39"/>
  <c r="L208" i="39"/>
  <c r="M208" i="39"/>
  <c r="N208" i="39"/>
  <c r="L210" i="39"/>
  <c r="M210" i="39"/>
  <c r="N210" i="39"/>
  <c r="F208" i="39"/>
  <c r="G208" i="39"/>
  <c r="H208" i="39"/>
  <c r="F210" i="39"/>
  <c r="G210" i="39"/>
  <c r="H210" i="39"/>
  <c r="AF208" i="39"/>
  <c r="AE208" i="39"/>
  <c r="AD208" i="39"/>
  <c r="AC208" i="39"/>
  <c r="W208" i="39"/>
  <c r="W198" i="39"/>
  <c r="Q208" i="39"/>
  <c r="K210" i="39"/>
  <c r="K208" i="39"/>
  <c r="E210" i="39"/>
  <c r="E208" i="39"/>
  <c r="F235" i="36"/>
  <c r="L235" i="36" s="1"/>
  <c r="R235" i="36" s="1"/>
  <c r="X235" i="36" s="1"/>
  <c r="AD235" i="36" s="1"/>
  <c r="G235" i="36"/>
  <c r="M235" i="36" s="1"/>
  <c r="S235" i="36" s="1"/>
  <c r="Y235" i="36" s="1"/>
  <c r="AE235" i="36" s="1"/>
  <c r="H235" i="36"/>
  <c r="N235" i="36" s="1"/>
  <c r="T235" i="36" s="1"/>
  <c r="Z235" i="36" s="1"/>
  <c r="AF235" i="36" s="1"/>
  <c r="E235" i="36"/>
  <c r="K235" i="36" s="1"/>
  <c r="Q235" i="36" s="1"/>
  <c r="W235" i="36" s="1"/>
  <c r="AC235" i="36" s="1"/>
  <c r="AC233" i="36"/>
  <c r="AD233" i="36"/>
  <c r="AE233" i="36"/>
  <c r="AF233" i="36"/>
  <c r="AF213" i="36"/>
  <c r="AE213" i="36"/>
  <c r="AD213" i="36"/>
  <c r="AC213" i="36"/>
  <c r="Z215" i="36"/>
  <c r="Y215" i="36"/>
  <c r="X215" i="36"/>
  <c r="W215" i="36"/>
  <c r="Z213" i="36"/>
  <c r="Y213" i="36"/>
  <c r="X213" i="36"/>
  <c r="W213" i="36"/>
  <c r="T213" i="36"/>
  <c r="S213" i="36"/>
  <c r="R213" i="36"/>
  <c r="Q213" i="36"/>
  <c r="N213" i="36"/>
  <c r="M213" i="36"/>
  <c r="L213" i="36"/>
  <c r="K213" i="36"/>
  <c r="H213" i="36"/>
  <c r="G213" i="36"/>
  <c r="F213" i="36"/>
  <c r="E213" i="36"/>
  <c r="AF208" i="36"/>
  <c r="AE208" i="36"/>
  <c r="AD208" i="36"/>
  <c r="AC208" i="36"/>
  <c r="Z208" i="36"/>
  <c r="Y208" i="36"/>
  <c r="X208" i="36"/>
  <c r="W208" i="36"/>
  <c r="T208" i="36"/>
  <c r="S208" i="36"/>
  <c r="R208" i="36"/>
  <c r="Q208" i="36"/>
  <c r="N210" i="36"/>
  <c r="M210" i="36"/>
  <c r="L210" i="36"/>
  <c r="K210" i="36"/>
  <c r="N208" i="36"/>
  <c r="M208" i="36"/>
  <c r="L208" i="36"/>
  <c r="K208" i="36"/>
  <c r="H210" i="36"/>
  <c r="G210" i="36"/>
  <c r="F210" i="36"/>
  <c r="H208" i="36"/>
  <c r="G208" i="36"/>
  <c r="F208" i="36"/>
  <c r="E208" i="36"/>
  <c r="H235" i="37"/>
  <c r="N235" i="37" s="1"/>
  <c r="T235" i="37" s="1"/>
  <c r="Z235" i="37" s="1"/>
  <c r="AF235" i="37" s="1"/>
  <c r="G235" i="37"/>
  <c r="M235" i="37" s="1"/>
  <c r="S235" i="37" s="1"/>
  <c r="Y235" i="37" s="1"/>
  <c r="AE235" i="37" s="1"/>
  <c r="F235" i="37"/>
  <c r="L235" i="37" s="1"/>
  <c r="R235" i="37" s="1"/>
  <c r="X235" i="37" s="1"/>
  <c r="AD235" i="37" s="1"/>
  <c r="E235" i="37"/>
  <c r="K235" i="37" s="1"/>
  <c r="Q235" i="37" s="1"/>
  <c r="W235" i="37" s="1"/>
  <c r="AC235" i="37" s="1"/>
  <c r="X233" i="37"/>
  <c r="Y233" i="37"/>
  <c r="Z233" i="37"/>
  <c r="W233" i="37"/>
  <c r="AC233" i="37"/>
  <c r="AD233" i="37"/>
  <c r="AE233" i="37"/>
  <c r="AF233" i="37"/>
  <c r="X230" i="37"/>
  <c r="Y230" i="37"/>
  <c r="Z230" i="37"/>
  <c r="W230" i="37"/>
  <c r="AC230" i="37"/>
  <c r="AD230" i="37"/>
  <c r="AE230" i="37"/>
  <c r="AF230" i="37"/>
  <c r="X227" i="37"/>
  <c r="Y227" i="37"/>
  <c r="Z227" i="37"/>
  <c r="X228" i="37"/>
  <c r="Y228" i="37"/>
  <c r="Z228" i="37"/>
  <c r="W228" i="37"/>
  <c r="W227" i="37"/>
  <c r="AC227" i="37"/>
  <c r="AD227" i="37"/>
  <c r="AE227" i="37"/>
  <c r="AF227" i="37"/>
  <c r="AC228" i="37"/>
  <c r="AD228" i="37"/>
  <c r="AE228" i="37"/>
  <c r="AF228" i="37"/>
  <c r="AF213" i="37"/>
  <c r="AE213" i="37"/>
  <c r="AD213" i="37"/>
  <c r="AC213" i="37"/>
  <c r="Z215" i="37"/>
  <c r="Y215" i="37"/>
  <c r="X215" i="37"/>
  <c r="W215" i="37"/>
  <c r="Z213" i="37"/>
  <c r="Y213" i="37"/>
  <c r="X213" i="37"/>
  <c r="W213" i="37"/>
  <c r="T213" i="37"/>
  <c r="S213" i="37"/>
  <c r="R213" i="37"/>
  <c r="Q213" i="37"/>
  <c r="N213" i="37"/>
  <c r="M213" i="37"/>
  <c r="L213" i="37"/>
  <c r="K213" i="37"/>
  <c r="H213" i="37"/>
  <c r="G213" i="37"/>
  <c r="F213" i="37"/>
  <c r="E213" i="37"/>
  <c r="AF208" i="37"/>
  <c r="AE208" i="37"/>
  <c r="AD208" i="37"/>
  <c r="AC208" i="37"/>
  <c r="Z208" i="37"/>
  <c r="Y208" i="37"/>
  <c r="X208" i="37"/>
  <c r="W208" i="37"/>
  <c r="Z198" i="37"/>
  <c r="Y198" i="37"/>
  <c r="X198" i="37"/>
  <c r="W198" i="37"/>
  <c r="T208" i="37"/>
  <c r="S208" i="37"/>
  <c r="R208" i="37"/>
  <c r="Q208" i="37"/>
  <c r="N208" i="37"/>
  <c r="M208" i="37"/>
  <c r="L208" i="37"/>
  <c r="K208" i="37"/>
  <c r="H208" i="37"/>
  <c r="G208" i="37"/>
  <c r="F208" i="37"/>
  <c r="E208" i="37"/>
  <c r="AC230" i="38"/>
  <c r="AD230" i="38"/>
  <c r="AE230" i="38"/>
  <c r="AF230" i="38"/>
  <c r="X227" i="38"/>
  <c r="Y227" i="38"/>
  <c r="Z227" i="38"/>
  <c r="X228" i="38"/>
  <c r="Y228" i="38"/>
  <c r="Z228" i="38"/>
  <c r="W228" i="38"/>
  <c r="W227" i="38"/>
  <c r="AC227" i="38"/>
  <c r="AD227" i="38"/>
  <c r="AE227" i="38"/>
  <c r="AF227" i="38"/>
  <c r="AC228" i="38"/>
  <c r="AD228" i="38"/>
  <c r="AE228" i="38"/>
  <c r="AF228" i="38"/>
  <c r="AF213" i="38"/>
  <c r="AE213" i="38"/>
  <c r="AD213" i="38"/>
  <c r="AC213" i="38"/>
  <c r="Z215" i="38"/>
  <c r="Y215" i="38"/>
  <c r="X215" i="38"/>
  <c r="W215" i="38"/>
  <c r="Z213" i="38"/>
  <c r="Y213" i="38"/>
  <c r="X213" i="38"/>
  <c r="W213" i="38"/>
  <c r="K213" i="38"/>
  <c r="L213" i="38"/>
  <c r="M213" i="38"/>
  <c r="N213" i="38"/>
  <c r="F213" i="38"/>
  <c r="G213" i="38"/>
  <c r="H213" i="38"/>
  <c r="E213" i="38"/>
  <c r="T213" i="38"/>
  <c r="S213" i="38"/>
  <c r="R213" i="38"/>
  <c r="Q213" i="38"/>
  <c r="Z208" i="38"/>
  <c r="AF208" i="38" s="1"/>
  <c r="Y208" i="38"/>
  <c r="AE208" i="38" s="1"/>
  <c r="X208" i="38"/>
  <c r="AD208" i="38" s="1"/>
  <c r="W208" i="38"/>
  <c r="AC208" i="38" s="1"/>
  <c r="Z198" i="38"/>
  <c r="Y198" i="38"/>
  <c r="X198" i="38"/>
  <c r="W198" i="38"/>
  <c r="H208" i="38"/>
  <c r="N208" i="38" s="1"/>
  <c r="T208" i="38" s="1"/>
  <c r="G208" i="38"/>
  <c r="M208" i="38" s="1"/>
  <c r="S208" i="38" s="1"/>
  <c r="F208" i="38"/>
  <c r="L208" i="38" s="1"/>
  <c r="R208" i="38" s="1"/>
  <c r="E208" i="38"/>
  <c r="K208" i="38" s="1"/>
  <c r="Q208" i="38" s="1"/>
  <c r="H235" i="35"/>
  <c r="N235" i="35" s="1"/>
  <c r="T235" i="35" s="1"/>
  <c r="Z235" i="35" s="1"/>
  <c r="AF235" i="35" s="1"/>
  <c r="G235" i="35"/>
  <c r="M235" i="35" s="1"/>
  <c r="S235" i="35" s="1"/>
  <c r="Y235" i="35" s="1"/>
  <c r="AE235" i="35" s="1"/>
  <c r="F235" i="35"/>
  <c r="L235" i="35" s="1"/>
  <c r="R235" i="35" s="1"/>
  <c r="X235" i="35" s="1"/>
  <c r="AD235" i="35" s="1"/>
  <c r="E235" i="35"/>
  <c r="K235" i="35" s="1"/>
  <c r="Q235" i="35" s="1"/>
  <c r="W235" i="35" s="1"/>
  <c r="AC235" i="35" s="1"/>
  <c r="K230" i="35"/>
  <c r="L230" i="35"/>
  <c r="M230" i="35"/>
  <c r="N230" i="35"/>
  <c r="Q233" i="35"/>
  <c r="W233" i="35" s="1"/>
  <c r="AC233" i="35" s="1"/>
  <c r="R233" i="35"/>
  <c r="X233" i="35" s="1"/>
  <c r="AD233" i="35" s="1"/>
  <c r="S233" i="35"/>
  <c r="Y233" i="35" s="1"/>
  <c r="AE233" i="35" s="1"/>
  <c r="T233" i="35"/>
  <c r="Z233" i="35" s="1"/>
  <c r="AF233" i="35" s="1"/>
  <c r="Z228" i="35"/>
  <c r="Y228" i="35"/>
  <c r="X228" i="35"/>
  <c r="W228" i="35"/>
  <c r="Z227" i="35"/>
  <c r="Y227" i="35"/>
  <c r="X227" i="35"/>
  <c r="W227" i="35"/>
  <c r="AC227" i="35"/>
  <c r="AD227" i="35"/>
  <c r="AE227" i="35"/>
  <c r="AF227" i="35"/>
  <c r="AC228" i="35"/>
  <c r="AD228" i="35"/>
  <c r="AE228" i="35"/>
  <c r="AF228" i="35"/>
  <c r="H228" i="35"/>
  <c r="G228" i="35"/>
  <c r="F228" i="35"/>
  <c r="E228" i="35"/>
  <c r="H227" i="35"/>
  <c r="G227" i="35"/>
  <c r="F227" i="35"/>
  <c r="E227" i="35"/>
  <c r="Q227" i="35"/>
  <c r="R227" i="35"/>
  <c r="S227" i="35"/>
  <c r="T227" i="35"/>
  <c r="Q228" i="35"/>
  <c r="R228" i="35"/>
  <c r="S228" i="35"/>
  <c r="T228" i="35"/>
  <c r="K227" i="35"/>
  <c r="L227" i="35"/>
  <c r="M227" i="35"/>
  <c r="N227" i="35"/>
  <c r="K228" i="35"/>
  <c r="L228" i="35"/>
  <c r="M228" i="35"/>
  <c r="N228" i="35"/>
  <c r="Z215" i="35"/>
  <c r="Y215" i="35"/>
  <c r="X215" i="35"/>
  <c r="W215" i="35"/>
  <c r="Z213" i="35"/>
  <c r="AF213" i="35" s="1"/>
  <c r="Y213" i="35"/>
  <c r="AE213" i="35" s="1"/>
  <c r="X213" i="35"/>
  <c r="AD213" i="35" s="1"/>
  <c r="W213" i="35"/>
  <c r="AC213" i="35" s="1"/>
  <c r="T213" i="35"/>
  <c r="S213" i="35"/>
  <c r="R213" i="35"/>
  <c r="Q213" i="35"/>
  <c r="N213" i="35"/>
  <c r="M213" i="35"/>
  <c r="L213" i="35"/>
  <c r="K213" i="35"/>
  <c r="H213" i="35"/>
  <c r="G213" i="35"/>
  <c r="F213" i="35"/>
  <c r="E213" i="35"/>
  <c r="AF208" i="35"/>
  <c r="AE208" i="35"/>
  <c r="AD208" i="35"/>
  <c r="W208" i="35"/>
  <c r="AC208" i="35" s="1"/>
  <c r="W198" i="35"/>
  <c r="T208" i="35"/>
  <c r="S208" i="35"/>
  <c r="R208" i="35"/>
  <c r="Q208" i="35"/>
  <c r="N208" i="35"/>
  <c r="M208" i="35"/>
  <c r="L208" i="35"/>
  <c r="K208" i="35"/>
  <c r="H210" i="35"/>
  <c r="G210" i="35"/>
  <c r="F210" i="35"/>
  <c r="E210" i="35"/>
  <c r="H208" i="35"/>
  <c r="G208" i="35"/>
  <c r="F208" i="35"/>
  <c r="E208" i="35"/>
  <c r="N235" i="34"/>
  <c r="T235" i="34" s="1"/>
  <c r="Z235" i="34" s="1"/>
  <c r="AF235" i="34" s="1"/>
  <c r="M235" i="34"/>
  <c r="S235" i="34" s="1"/>
  <c r="Y235" i="34" s="1"/>
  <c r="AE235" i="34" s="1"/>
  <c r="L235" i="34"/>
  <c r="R235" i="34" s="1"/>
  <c r="X235" i="34" s="1"/>
  <c r="AD235" i="34" s="1"/>
  <c r="K235" i="34"/>
  <c r="Q235" i="34" s="1"/>
  <c r="W235" i="34" s="1"/>
  <c r="AC235" i="34" s="1"/>
  <c r="AC230" i="34"/>
  <c r="AD230" i="34"/>
  <c r="AE230" i="34"/>
  <c r="AF230" i="34"/>
  <c r="AF213" i="34"/>
  <c r="AE213" i="34"/>
  <c r="AD213" i="34"/>
  <c r="AC213" i="34"/>
  <c r="Z213" i="34"/>
  <c r="Y213" i="34"/>
  <c r="X213" i="34"/>
  <c r="W213" i="34"/>
  <c r="AF208" i="34"/>
  <c r="AE208" i="34"/>
  <c r="AD208" i="34"/>
  <c r="AC208" i="34"/>
  <c r="Z208" i="34"/>
  <c r="Y208" i="34"/>
  <c r="X208" i="34"/>
  <c r="W208" i="34"/>
  <c r="Z198" i="34"/>
  <c r="Y198" i="34"/>
  <c r="X198" i="34"/>
  <c r="W198" i="34"/>
  <c r="T208" i="34"/>
  <c r="S208" i="34"/>
  <c r="R208" i="34"/>
  <c r="Q208" i="34"/>
  <c r="N210" i="34"/>
  <c r="M210" i="34"/>
  <c r="L210" i="34"/>
  <c r="K210" i="34"/>
  <c r="N208" i="34"/>
  <c r="M208" i="34"/>
  <c r="L208" i="34"/>
  <c r="K208" i="34"/>
  <c r="H210" i="34"/>
  <c r="G210" i="34"/>
  <c r="F210" i="34"/>
  <c r="E210" i="34"/>
  <c r="H208" i="34"/>
  <c r="G208" i="34"/>
  <c r="F208" i="34"/>
  <c r="E208" i="34"/>
  <c r="H235" i="33"/>
  <c r="N235" i="33" s="1"/>
  <c r="T235" i="33" s="1"/>
  <c r="Z235" i="33" s="1"/>
  <c r="AF235" i="33" s="1"/>
  <c r="G235" i="33"/>
  <c r="M235" i="33" s="1"/>
  <c r="S235" i="33" s="1"/>
  <c r="Y235" i="33" s="1"/>
  <c r="AE235" i="33" s="1"/>
  <c r="F235" i="33"/>
  <c r="L235" i="33" s="1"/>
  <c r="R235" i="33" s="1"/>
  <c r="X235" i="33" s="1"/>
  <c r="AD235" i="33" s="1"/>
  <c r="E235" i="33"/>
  <c r="K235" i="33" s="1"/>
  <c r="Q235" i="33" s="1"/>
  <c r="W235" i="33" s="1"/>
  <c r="AC235" i="33" s="1"/>
  <c r="AC233" i="33"/>
  <c r="AD233" i="33"/>
  <c r="AE233" i="33"/>
  <c r="AF233" i="33"/>
  <c r="AC230" i="33"/>
  <c r="AD230" i="33"/>
  <c r="AE230" i="33"/>
  <c r="AF230" i="33"/>
  <c r="AF228" i="33"/>
  <c r="AE228" i="33"/>
  <c r="AD228" i="33"/>
  <c r="AC228" i="33"/>
  <c r="Z228" i="33"/>
  <c r="Y228" i="33"/>
  <c r="X228" i="33"/>
  <c r="W228" i="33"/>
  <c r="AG215" i="33"/>
  <c r="AF215" i="33"/>
  <c r="AE215" i="33"/>
  <c r="AD215" i="33"/>
  <c r="AC215" i="33"/>
  <c r="AG213" i="33"/>
  <c r="AF213" i="33"/>
  <c r="AE213" i="33"/>
  <c r="AD213" i="33"/>
  <c r="AC213" i="33"/>
  <c r="Z215" i="33"/>
  <c r="Y215" i="33"/>
  <c r="X215" i="33"/>
  <c r="W215" i="33"/>
  <c r="Z213" i="33"/>
  <c r="Y213" i="33"/>
  <c r="X213" i="33"/>
  <c r="W213" i="33"/>
  <c r="T213" i="33"/>
  <c r="S213" i="33"/>
  <c r="R213" i="33"/>
  <c r="Q213" i="33"/>
  <c r="N213" i="33"/>
  <c r="M213" i="33"/>
  <c r="L213" i="33"/>
  <c r="K213" i="33"/>
  <c r="H213" i="33"/>
  <c r="G213" i="33"/>
  <c r="F213" i="33"/>
  <c r="E213" i="33"/>
  <c r="Z208" i="33"/>
  <c r="AF208" i="33" s="1"/>
  <c r="Y208" i="33"/>
  <c r="AE208" i="33" s="1"/>
  <c r="X208" i="33"/>
  <c r="AD208" i="33" s="1"/>
  <c r="W208" i="33"/>
  <c r="AC208" i="33" s="1"/>
  <c r="Z198" i="33"/>
  <c r="Y198" i="33"/>
  <c r="X198" i="33"/>
  <c r="W198" i="33"/>
  <c r="T208" i="33"/>
  <c r="S208" i="33"/>
  <c r="R208" i="33"/>
  <c r="Q208" i="33"/>
  <c r="N210" i="33"/>
  <c r="M210" i="33"/>
  <c r="L210" i="33"/>
  <c r="K210" i="33"/>
  <c r="N208" i="33"/>
  <c r="M208" i="33"/>
  <c r="L208" i="33"/>
  <c r="K208" i="33"/>
  <c r="H210" i="33"/>
  <c r="G210" i="33"/>
  <c r="F210" i="33"/>
  <c r="E210" i="33"/>
  <c r="H208" i="33"/>
  <c r="G208" i="33"/>
  <c r="F208" i="33"/>
  <c r="E208" i="33"/>
  <c r="I62" i="48"/>
  <c r="I60" i="48"/>
  <c r="I62" i="42"/>
  <c r="I60" i="42"/>
  <c r="I62" i="41"/>
  <c r="I60" i="41"/>
  <c r="I62" i="45"/>
  <c r="I60" i="45"/>
  <c r="I62" i="44"/>
  <c r="I60" i="44"/>
  <c r="I62" i="43"/>
  <c r="I60" i="43"/>
  <c r="I62" i="40"/>
  <c r="I60" i="40"/>
  <c r="I62" i="39"/>
  <c r="I60" i="39"/>
  <c r="I62" i="36"/>
  <c r="I60" i="36"/>
  <c r="I62" i="37"/>
  <c r="I60" i="37"/>
  <c r="I62" i="38"/>
  <c r="I60" i="38"/>
  <c r="I62" i="35"/>
  <c r="I60" i="35"/>
  <c r="I62" i="34"/>
  <c r="I60" i="34"/>
  <c r="H235" i="32"/>
  <c r="N235" i="32" s="1"/>
  <c r="T235" i="32" s="1"/>
  <c r="Z235" i="32" s="1"/>
  <c r="AF235" i="32" s="1"/>
  <c r="G235" i="32"/>
  <c r="M235" i="32" s="1"/>
  <c r="S235" i="32" s="1"/>
  <c r="Y235" i="32" s="1"/>
  <c r="AE235" i="32" s="1"/>
  <c r="F235" i="32"/>
  <c r="L235" i="32" s="1"/>
  <c r="R235" i="32" s="1"/>
  <c r="X235" i="32" s="1"/>
  <c r="AD235" i="32" s="1"/>
  <c r="E235" i="32"/>
  <c r="K235" i="32" s="1"/>
  <c r="Q235" i="32" s="1"/>
  <c r="W235" i="32" s="1"/>
  <c r="AC235" i="32" s="1"/>
  <c r="AF213" i="32"/>
  <c r="AE213" i="32"/>
  <c r="AD213" i="32"/>
  <c r="AC213" i="32"/>
  <c r="Z213" i="32"/>
  <c r="Y213" i="32"/>
  <c r="X213" i="32"/>
  <c r="W213" i="32"/>
  <c r="AF208" i="32"/>
  <c r="AE208" i="32"/>
  <c r="AD208" i="32"/>
  <c r="AC208" i="32"/>
  <c r="Z208" i="32"/>
  <c r="Y208" i="32"/>
  <c r="X208" i="32"/>
  <c r="W208" i="32"/>
  <c r="Z198" i="32"/>
  <c r="Y198" i="32"/>
  <c r="X198" i="32"/>
  <c r="W198" i="32"/>
  <c r="T208" i="32"/>
  <c r="S208" i="32"/>
  <c r="R208" i="32"/>
  <c r="Q208" i="32"/>
  <c r="N210" i="32"/>
  <c r="M210" i="32"/>
  <c r="L210" i="32"/>
  <c r="K210" i="32"/>
  <c r="N208" i="32"/>
  <c r="M208" i="32"/>
  <c r="L208" i="32"/>
  <c r="K208" i="32"/>
  <c r="I210" i="32"/>
  <c r="H210" i="32"/>
  <c r="G210" i="32"/>
  <c r="F210" i="32"/>
  <c r="E210" i="32"/>
  <c r="I208" i="32"/>
  <c r="H208" i="32"/>
  <c r="G208" i="32"/>
  <c r="F208" i="32"/>
  <c r="E208" i="32"/>
  <c r="H235" i="31"/>
  <c r="N235" i="31" s="1"/>
  <c r="G235" i="31"/>
  <c r="M235" i="31" s="1"/>
  <c r="F235" i="31"/>
  <c r="L235" i="31" s="1"/>
  <c r="E235" i="31"/>
  <c r="K235" i="31" s="1"/>
  <c r="Z213" i="31"/>
  <c r="Y213" i="31"/>
  <c r="X213" i="31"/>
  <c r="W213" i="31"/>
  <c r="AC213" i="31"/>
  <c r="AD213" i="31"/>
  <c r="AE213" i="31"/>
  <c r="AF213" i="31"/>
  <c r="AF208" i="31"/>
  <c r="AE208" i="31"/>
  <c r="AD208" i="31"/>
  <c r="AC208" i="31"/>
  <c r="Z208" i="31"/>
  <c r="Y208" i="31"/>
  <c r="X208" i="31"/>
  <c r="W208" i="31"/>
  <c r="T208" i="31"/>
  <c r="S208" i="31"/>
  <c r="R208" i="31"/>
  <c r="Q208" i="31"/>
  <c r="N210" i="31"/>
  <c r="M210" i="31"/>
  <c r="L210" i="31"/>
  <c r="K210" i="31"/>
  <c r="N208" i="31"/>
  <c r="M208" i="31"/>
  <c r="L208" i="31"/>
  <c r="K208" i="31"/>
  <c r="H210" i="31"/>
  <c r="G210" i="31"/>
  <c r="F210" i="31"/>
  <c r="E210" i="31"/>
  <c r="H208" i="31"/>
  <c r="G208" i="31"/>
  <c r="F208" i="31"/>
  <c r="E208" i="31"/>
  <c r="H235" i="30"/>
  <c r="G235" i="30"/>
  <c r="N235" i="30" s="1"/>
  <c r="T235" i="30" s="1"/>
  <c r="Z235" i="30" s="1"/>
  <c r="F235" i="30"/>
  <c r="M235" i="30" s="1"/>
  <c r="S235" i="30" s="1"/>
  <c r="Y235" i="30" s="1"/>
  <c r="E235" i="30"/>
  <c r="L235" i="30" s="1"/>
  <c r="R235" i="30" s="1"/>
  <c r="X235" i="30" s="1"/>
  <c r="Z228" i="30"/>
  <c r="Y228" i="30"/>
  <c r="X228" i="30"/>
  <c r="W228" i="30"/>
  <c r="Z227" i="30"/>
  <c r="Y227" i="30"/>
  <c r="X227" i="30"/>
  <c r="W227" i="30"/>
  <c r="AC227" i="30"/>
  <c r="AD227" i="30"/>
  <c r="AE227" i="30"/>
  <c r="AF227" i="30"/>
  <c r="AC228" i="30"/>
  <c r="AD228" i="30"/>
  <c r="AE228" i="30"/>
  <c r="AF228" i="30"/>
  <c r="Z213" i="30"/>
  <c r="Y213" i="30"/>
  <c r="X213" i="30"/>
  <c r="W213" i="30"/>
  <c r="AF213" i="30"/>
  <c r="AE213" i="30"/>
  <c r="AD213" i="30"/>
  <c r="AC213" i="30"/>
  <c r="AB213" i="30"/>
  <c r="AF208" i="30"/>
  <c r="AE208" i="30"/>
  <c r="AD208" i="30"/>
  <c r="AC208" i="30"/>
  <c r="Z208" i="30"/>
  <c r="Y208" i="30"/>
  <c r="X208" i="30"/>
  <c r="W208" i="30"/>
  <c r="Z198" i="30"/>
  <c r="Y198" i="30"/>
  <c r="X198" i="30"/>
  <c r="W198" i="30"/>
  <c r="T208" i="30"/>
  <c r="S208" i="30"/>
  <c r="R208" i="30"/>
  <c r="Q208" i="30"/>
  <c r="N210" i="30"/>
  <c r="M210" i="30"/>
  <c r="L210" i="30"/>
  <c r="K210" i="30"/>
  <c r="N208" i="30"/>
  <c r="M208" i="30"/>
  <c r="L208" i="30"/>
  <c r="K208" i="30"/>
  <c r="H210" i="30"/>
  <c r="G210" i="30"/>
  <c r="F210" i="30"/>
  <c r="E210" i="30"/>
  <c r="H208" i="30"/>
  <c r="G208" i="30"/>
  <c r="F208" i="30"/>
  <c r="E208" i="30"/>
  <c r="H235" i="29"/>
  <c r="N235" i="29" s="1"/>
  <c r="T235" i="29" s="1"/>
  <c r="Z235" i="29" s="1"/>
  <c r="AF235" i="29" s="1"/>
  <c r="G235" i="29"/>
  <c r="M235" i="29" s="1"/>
  <c r="S235" i="29" s="1"/>
  <c r="Y235" i="29" s="1"/>
  <c r="AE235" i="29" s="1"/>
  <c r="F235" i="29"/>
  <c r="L235" i="29" s="1"/>
  <c r="R235" i="29" s="1"/>
  <c r="X235" i="29" s="1"/>
  <c r="AD235" i="29" s="1"/>
  <c r="E235" i="29"/>
  <c r="K235" i="29" s="1"/>
  <c r="Q235" i="29" s="1"/>
  <c r="W235" i="29" s="1"/>
  <c r="AC235" i="29" s="1"/>
  <c r="AF230" i="29"/>
  <c r="AE230" i="29"/>
  <c r="AD230" i="29"/>
  <c r="AC230" i="29"/>
  <c r="X230" i="29"/>
  <c r="Y230" i="29"/>
  <c r="Z230" i="29"/>
  <c r="W230" i="29"/>
  <c r="AF228" i="29"/>
  <c r="AE228" i="29"/>
  <c r="AD228" i="29"/>
  <c r="AC228" i="29"/>
  <c r="AF227" i="29"/>
  <c r="AE227" i="29"/>
  <c r="AD227" i="29"/>
  <c r="AC227" i="29"/>
  <c r="Z228" i="29"/>
  <c r="Y228" i="29"/>
  <c r="X228" i="29"/>
  <c r="W228" i="29"/>
  <c r="Z227" i="29"/>
  <c r="Y227" i="29"/>
  <c r="X227" i="29"/>
  <c r="W227" i="29"/>
  <c r="AC213" i="29"/>
  <c r="AD213" i="29"/>
  <c r="AE213" i="29"/>
  <c r="AF213" i="29"/>
  <c r="Z213" i="29"/>
  <c r="Y213" i="29"/>
  <c r="X213" i="29"/>
  <c r="W213" i="29"/>
  <c r="AF208" i="29"/>
  <c r="AE208" i="29"/>
  <c r="AD208" i="29"/>
  <c r="AC208" i="29"/>
  <c r="Z208" i="29"/>
  <c r="Y208" i="29"/>
  <c r="X208" i="29"/>
  <c r="W208" i="29"/>
  <c r="Z198" i="29"/>
  <c r="Y198" i="29"/>
  <c r="X198" i="29"/>
  <c r="W198" i="29"/>
  <c r="T208" i="29"/>
  <c r="S208" i="29"/>
  <c r="R208" i="29"/>
  <c r="Q208" i="29"/>
  <c r="N208" i="29"/>
  <c r="M208" i="29"/>
  <c r="L208" i="29"/>
  <c r="K208" i="29"/>
  <c r="H208" i="29"/>
  <c r="G208" i="29"/>
  <c r="F208" i="29"/>
  <c r="E208" i="29"/>
  <c r="R227" i="6"/>
  <c r="S227" i="6"/>
  <c r="T227" i="6"/>
  <c r="R228" i="6"/>
  <c r="S228" i="6"/>
  <c r="T228" i="6"/>
  <c r="AF228" i="6"/>
  <c r="AE228" i="6"/>
  <c r="AD228" i="6"/>
  <c r="AC228" i="6"/>
  <c r="AF227" i="6"/>
  <c r="AE227" i="6"/>
  <c r="AD227" i="6"/>
  <c r="AC227" i="6"/>
  <c r="Z228" i="6"/>
  <c r="Y228" i="6"/>
  <c r="X228" i="6"/>
  <c r="Z227" i="6"/>
  <c r="Y227" i="6"/>
  <c r="X227" i="6"/>
  <c r="W228" i="6"/>
  <c r="W227" i="6"/>
  <c r="Q228" i="6"/>
  <c r="Q227" i="6"/>
  <c r="N228" i="6"/>
  <c r="M228" i="6"/>
  <c r="L228" i="6"/>
  <c r="K228" i="6"/>
  <c r="N227" i="6"/>
  <c r="M227" i="6"/>
  <c r="L227" i="6"/>
  <c r="K227" i="6"/>
  <c r="H228" i="6"/>
  <c r="G228" i="6"/>
  <c r="F228" i="6"/>
  <c r="E228" i="6"/>
  <c r="H227" i="6"/>
  <c r="G227" i="6"/>
  <c r="F227" i="6"/>
  <c r="E227" i="6"/>
  <c r="AF208" i="6"/>
  <c r="AE208" i="6"/>
  <c r="AD208" i="6"/>
  <c r="AC208" i="6"/>
  <c r="Z208" i="6"/>
  <c r="Y208" i="6"/>
  <c r="X208" i="6"/>
  <c r="W208" i="6"/>
  <c r="T208" i="6"/>
  <c r="S208" i="6"/>
  <c r="R208" i="6"/>
  <c r="Q208" i="6"/>
  <c r="N208" i="6"/>
  <c r="M208" i="6"/>
  <c r="L208" i="6"/>
  <c r="K208" i="6"/>
  <c r="H208" i="6"/>
  <c r="G208" i="6"/>
  <c r="F208" i="6"/>
  <c r="E208" i="6"/>
  <c r="J235" i="47"/>
  <c r="P235" i="47" s="1"/>
  <c r="V235" i="47" s="1"/>
  <c r="AB235" i="47" s="1"/>
  <c r="AH235" i="47" s="1"/>
  <c r="Y233" i="47"/>
  <c r="Z233" i="47"/>
  <c r="AB233" i="47"/>
  <c r="AF233" i="47"/>
  <c r="AE233" i="47"/>
  <c r="AD233" i="47"/>
  <c r="AC233" i="47"/>
  <c r="X233" i="47"/>
  <c r="W233" i="47"/>
  <c r="Z215" i="47"/>
  <c r="Y215" i="47"/>
  <c r="X215" i="47"/>
  <c r="W215" i="47"/>
  <c r="Z213" i="47"/>
  <c r="Y213" i="47"/>
  <c r="X213" i="47"/>
  <c r="W213" i="47"/>
  <c r="T213" i="47"/>
  <c r="S213" i="47"/>
  <c r="R213" i="47"/>
  <c r="Q213" i="47"/>
  <c r="N213" i="47"/>
  <c r="M213" i="47"/>
  <c r="L213" i="47"/>
  <c r="K213" i="47"/>
  <c r="H213" i="47"/>
  <c r="G213" i="47"/>
  <c r="F213" i="47"/>
  <c r="E213" i="47"/>
  <c r="AF208" i="47"/>
  <c r="AE208" i="47"/>
  <c r="AD208" i="47"/>
  <c r="AC208" i="47"/>
  <c r="Z208" i="47"/>
  <c r="Y208" i="47"/>
  <c r="X208" i="47"/>
  <c r="W208" i="47"/>
  <c r="T208" i="47"/>
  <c r="S208" i="47"/>
  <c r="R208" i="47"/>
  <c r="Q208" i="47"/>
  <c r="N208" i="47"/>
  <c r="M208" i="47"/>
  <c r="L208" i="47"/>
  <c r="K208" i="47"/>
  <c r="H210" i="47"/>
  <c r="G210" i="47"/>
  <c r="F210" i="47"/>
  <c r="E210" i="47"/>
  <c r="H208" i="47"/>
  <c r="G208" i="47"/>
  <c r="F208" i="47"/>
  <c r="E208" i="47"/>
  <c r="AI234" i="65"/>
  <c r="AH213" i="65"/>
  <c r="AF213" i="65"/>
  <c r="AE213" i="65"/>
  <c r="AD213" i="65"/>
  <c r="AC213" i="65"/>
  <c r="AB213" i="65"/>
  <c r="Z213" i="65"/>
  <c r="Y213" i="65"/>
  <c r="X213" i="65"/>
  <c r="W213" i="65"/>
  <c r="V213" i="65"/>
  <c r="T213" i="65"/>
  <c r="S213" i="65"/>
  <c r="R213" i="65"/>
  <c r="Q213" i="65"/>
  <c r="N213" i="65"/>
  <c r="M213" i="65"/>
  <c r="L213" i="65"/>
  <c r="K213" i="65"/>
  <c r="J213" i="65"/>
  <c r="P213" i="65"/>
  <c r="AB234" i="64"/>
  <c r="V234" i="64"/>
  <c r="AF227" i="64"/>
  <c r="AE227" i="64"/>
  <c r="AD227" i="64"/>
  <c r="AC227" i="64"/>
  <c r="Z227" i="64"/>
  <c r="Y227" i="64"/>
  <c r="X227" i="64"/>
  <c r="W227" i="64"/>
  <c r="AF230" i="64"/>
  <c r="AE230" i="64"/>
  <c r="AD230" i="64"/>
  <c r="AC230" i="64"/>
  <c r="Z230" i="64"/>
  <c r="Y230" i="64"/>
  <c r="X230" i="64"/>
  <c r="W230" i="64"/>
  <c r="T230" i="64"/>
  <c r="S230" i="64"/>
  <c r="R230" i="64"/>
  <c r="Q230" i="64"/>
  <c r="N230" i="64"/>
  <c r="M230" i="64"/>
  <c r="L230" i="64"/>
  <c r="K230" i="64"/>
  <c r="H230" i="64"/>
  <c r="G230" i="64"/>
  <c r="F230" i="64"/>
  <c r="E230" i="64"/>
  <c r="W215" i="64"/>
  <c r="X215" i="64"/>
  <c r="Y215" i="64"/>
  <c r="Z215" i="64"/>
  <c r="AH213" i="64"/>
  <c r="AF213" i="64"/>
  <c r="AE213" i="64"/>
  <c r="AD213" i="64"/>
  <c r="AC213" i="64"/>
  <c r="Z213" i="64"/>
  <c r="Y213" i="64"/>
  <c r="X213" i="64"/>
  <c r="W213" i="64"/>
  <c r="V213" i="64"/>
  <c r="AB213" i="64"/>
  <c r="T213" i="64"/>
  <c r="S213" i="64"/>
  <c r="R213" i="64"/>
  <c r="Q213" i="64"/>
  <c r="N213" i="64"/>
  <c r="P213" i="64"/>
  <c r="Z208" i="64"/>
  <c r="Y208" i="64"/>
  <c r="X208" i="64"/>
  <c r="W208" i="64"/>
  <c r="Z198" i="64"/>
  <c r="Y198" i="64"/>
  <c r="X198" i="64"/>
  <c r="W198" i="64"/>
  <c r="T208" i="64"/>
  <c r="S208" i="64"/>
  <c r="R208" i="64"/>
  <c r="Q208" i="64"/>
  <c r="N208" i="64"/>
  <c r="M208" i="64"/>
  <c r="L208" i="64"/>
  <c r="K208" i="64"/>
  <c r="H210" i="64"/>
  <c r="G210" i="64"/>
  <c r="F210" i="64"/>
  <c r="E210" i="64"/>
  <c r="H208" i="64"/>
  <c r="G208" i="64"/>
  <c r="F208" i="64"/>
  <c r="E208" i="64"/>
  <c r="AD230" i="63"/>
  <c r="AE230" i="63"/>
  <c r="AF230" i="63"/>
  <c r="AC230" i="63"/>
  <c r="Z230" i="63"/>
  <c r="Y230" i="63"/>
  <c r="X230" i="63"/>
  <c r="W230" i="63"/>
  <c r="AI227" i="63"/>
  <c r="AF227" i="63"/>
  <c r="AE227" i="63"/>
  <c r="AD227" i="63"/>
  <c r="AC227" i="63"/>
  <c r="Z227" i="63"/>
  <c r="Y227" i="63"/>
  <c r="X227" i="63"/>
  <c r="W227" i="63"/>
  <c r="AD235" i="63"/>
  <c r="AE235" i="63"/>
  <c r="AF235" i="63"/>
  <c r="AC235" i="63"/>
  <c r="W213" i="63"/>
  <c r="AF208" i="63"/>
  <c r="AE208" i="63"/>
  <c r="AD208" i="63"/>
  <c r="AC208" i="63"/>
  <c r="Z208" i="63"/>
  <c r="Y208" i="63"/>
  <c r="X208" i="63"/>
  <c r="W208" i="63"/>
  <c r="Z198" i="63"/>
  <c r="Y198" i="63"/>
  <c r="X198" i="63"/>
  <c r="W198" i="63"/>
  <c r="T208" i="63"/>
  <c r="S208" i="63"/>
  <c r="R208" i="63"/>
  <c r="Q208" i="63"/>
  <c r="N210" i="63"/>
  <c r="M210" i="63"/>
  <c r="L210" i="63"/>
  <c r="K210" i="63"/>
  <c r="N208" i="63"/>
  <c r="M208" i="63"/>
  <c r="L208" i="63"/>
  <c r="K208" i="63"/>
  <c r="H208" i="63"/>
  <c r="G208" i="63"/>
  <c r="F208" i="63"/>
  <c r="E208" i="63"/>
  <c r="H235" i="5"/>
  <c r="N235" i="5" s="1"/>
  <c r="T235" i="5" s="1"/>
  <c r="Z235" i="5" s="1"/>
  <c r="AF235" i="5" s="1"/>
  <c r="G235" i="5"/>
  <c r="M235" i="5" s="1"/>
  <c r="S235" i="5" s="1"/>
  <c r="Y235" i="5" s="1"/>
  <c r="AE235" i="5" s="1"/>
  <c r="F235" i="5"/>
  <c r="L235" i="5" s="1"/>
  <c r="R235" i="5" s="1"/>
  <c r="X235" i="5" s="1"/>
  <c r="AD235" i="5" s="1"/>
  <c r="E235" i="5"/>
  <c r="K235" i="5" s="1"/>
  <c r="Q235" i="5" s="1"/>
  <c r="W235" i="5" s="1"/>
  <c r="AC235" i="5" s="1"/>
  <c r="AF233" i="5"/>
  <c r="AE233" i="5"/>
  <c r="AD233" i="5"/>
  <c r="AC233" i="5"/>
  <c r="Z233" i="5"/>
  <c r="Y233" i="5"/>
  <c r="X233" i="5"/>
  <c r="W233" i="5"/>
  <c r="T233" i="5"/>
  <c r="S233" i="5"/>
  <c r="R233" i="5"/>
  <c r="Q233" i="5"/>
  <c r="N233" i="5"/>
  <c r="M233" i="5"/>
  <c r="L233" i="5"/>
  <c r="K233" i="5"/>
  <c r="H233" i="5"/>
  <c r="G233" i="5"/>
  <c r="F233" i="5"/>
  <c r="E233" i="5"/>
  <c r="AF230" i="5"/>
  <c r="AE230" i="5"/>
  <c r="AD230" i="5"/>
  <c r="AC230" i="5"/>
  <c r="Z230" i="5"/>
  <c r="Y230" i="5"/>
  <c r="X230" i="5"/>
  <c r="W230" i="5"/>
  <c r="AF228" i="5"/>
  <c r="AE228" i="5"/>
  <c r="AD228" i="5"/>
  <c r="AC228" i="5"/>
  <c r="AF227" i="5"/>
  <c r="AE227" i="5"/>
  <c r="AD227" i="5"/>
  <c r="AC227" i="5"/>
  <c r="Z228" i="5"/>
  <c r="Y228" i="5"/>
  <c r="X228" i="5"/>
  <c r="W228" i="5"/>
  <c r="Z227" i="5"/>
  <c r="Y227" i="5"/>
  <c r="X227" i="5"/>
  <c r="W227" i="5"/>
  <c r="AA215" i="5"/>
  <c r="Z215" i="5"/>
  <c r="Y215" i="5"/>
  <c r="X215" i="5"/>
  <c r="W215" i="5"/>
  <c r="AA213" i="5"/>
  <c r="Z213" i="5"/>
  <c r="AF213" i="5" s="1"/>
  <c r="Y213" i="5"/>
  <c r="AE213" i="5" s="1"/>
  <c r="X213" i="5"/>
  <c r="AD213" i="5" s="1"/>
  <c r="W213" i="5"/>
  <c r="AC213" i="5" s="1"/>
  <c r="V213" i="5"/>
  <c r="U213" i="5"/>
  <c r="T213" i="5"/>
  <c r="S213" i="5"/>
  <c r="R213" i="5"/>
  <c r="Q213" i="5"/>
  <c r="N213" i="5"/>
  <c r="M213" i="5"/>
  <c r="L213" i="5"/>
  <c r="K213" i="5"/>
  <c r="H213" i="5"/>
  <c r="G213" i="5"/>
  <c r="F213" i="5"/>
  <c r="E213" i="5"/>
  <c r="AF208" i="5"/>
  <c r="AE208" i="5"/>
  <c r="AD208" i="5"/>
  <c r="AC208" i="5"/>
  <c r="Z208" i="5"/>
  <c r="Z198" i="5"/>
  <c r="Y208" i="5"/>
  <c r="Y198" i="5"/>
  <c r="X208" i="5"/>
  <c r="X198" i="5"/>
  <c r="W208" i="5"/>
  <c r="W198" i="5"/>
  <c r="T208" i="5"/>
  <c r="S208" i="5"/>
  <c r="R208" i="5"/>
  <c r="Q208" i="5"/>
  <c r="N208" i="5"/>
  <c r="M208" i="5"/>
  <c r="L208" i="5"/>
  <c r="K208" i="5"/>
  <c r="H208" i="5"/>
  <c r="G208" i="5"/>
  <c r="F208" i="5"/>
  <c r="E208" i="5"/>
  <c r="V208" i="5"/>
  <c r="H235" i="3"/>
  <c r="N235" i="3" s="1"/>
  <c r="T235" i="3" s="1"/>
  <c r="Z235" i="3" s="1"/>
  <c r="AF235" i="3" s="1"/>
  <c r="G235" i="3"/>
  <c r="M235" i="3" s="1"/>
  <c r="S235" i="3" s="1"/>
  <c r="Y235" i="3" s="1"/>
  <c r="AE235" i="3" s="1"/>
  <c r="F235" i="3"/>
  <c r="L235" i="3" s="1"/>
  <c r="R235" i="3" s="1"/>
  <c r="X235" i="3" s="1"/>
  <c r="AD235" i="3" s="1"/>
  <c r="E235" i="3"/>
  <c r="K235" i="3" s="1"/>
  <c r="Q235" i="3" s="1"/>
  <c r="W235" i="3" s="1"/>
  <c r="AC235" i="3" s="1"/>
  <c r="AF233" i="3"/>
  <c r="AE233" i="3"/>
  <c r="AD233" i="3"/>
  <c r="AC233" i="3"/>
  <c r="Z233" i="3"/>
  <c r="Y233" i="3"/>
  <c r="X233" i="3"/>
  <c r="W233" i="3"/>
  <c r="AD230" i="3"/>
  <c r="AE230" i="3"/>
  <c r="AF230" i="3"/>
  <c r="AG230" i="3"/>
  <c r="AC230" i="3"/>
  <c r="X230" i="3"/>
  <c r="Y230" i="3"/>
  <c r="Z230" i="3"/>
  <c r="W230" i="3"/>
  <c r="AF228" i="3"/>
  <c r="AE228" i="3"/>
  <c r="AD228" i="3"/>
  <c r="AC228" i="3"/>
  <c r="AF227" i="3"/>
  <c r="AE227" i="3"/>
  <c r="AD227" i="3"/>
  <c r="AC227" i="3"/>
  <c r="Z228" i="3"/>
  <c r="Y228" i="3"/>
  <c r="X228" i="3"/>
  <c r="W228" i="3"/>
  <c r="Z227" i="3"/>
  <c r="Y227" i="3"/>
  <c r="X227" i="3"/>
  <c r="W227" i="3"/>
  <c r="AF213" i="3"/>
  <c r="AE213" i="3"/>
  <c r="AD213" i="3"/>
  <c r="AC213" i="3"/>
  <c r="AH213" i="3"/>
  <c r="Z215" i="3"/>
  <c r="Y215" i="3"/>
  <c r="X215" i="3"/>
  <c r="W215" i="3"/>
  <c r="Z213" i="3"/>
  <c r="Y213" i="3"/>
  <c r="X213" i="3"/>
  <c r="W213" i="3"/>
  <c r="T213" i="3"/>
  <c r="S213" i="3"/>
  <c r="R213" i="3"/>
  <c r="Q213" i="3"/>
  <c r="N213" i="3"/>
  <c r="M213" i="3"/>
  <c r="L213" i="3"/>
  <c r="K213" i="3"/>
  <c r="H213" i="3"/>
  <c r="G213" i="3"/>
  <c r="F213" i="3"/>
  <c r="E213" i="3"/>
  <c r="AF208" i="3"/>
  <c r="AE208" i="3"/>
  <c r="AD208" i="3"/>
  <c r="AC208" i="3"/>
  <c r="Z208" i="3"/>
  <c r="Z198" i="3"/>
  <c r="Y208" i="3"/>
  <c r="Y198" i="3"/>
  <c r="X208" i="3"/>
  <c r="X198" i="3"/>
  <c r="W208" i="3"/>
  <c r="W198" i="3"/>
  <c r="R208" i="3"/>
  <c r="S208" i="3"/>
  <c r="T208" i="3"/>
  <c r="Q208" i="3"/>
  <c r="N210" i="3"/>
  <c r="M210" i="3"/>
  <c r="L210" i="3"/>
  <c r="K210" i="3"/>
  <c r="N208" i="3"/>
  <c r="M208" i="3"/>
  <c r="L208" i="3"/>
  <c r="K208" i="3"/>
  <c r="H210" i="3"/>
  <c r="G210" i="3"/>
  <c r="F210" i="3"/>
  <c r="E210" i="3"/>
  <c r="H208" i="3"/>
  <c r="G208" i="3"/>
  <c r="F208" i="3"/>
  <c r="E208" i="3"/>
  <c r="AC233" i="26"/>
  <c r="AD233" i="26"/>
  <c r="AE233" i="26"/>
  <c r="AF233" i="26"/>
  <c r="W233" i="26"/>
  <c r="X233" i="26"/>
  <c r="Y233" i="26"/>
  <c r="Z233" i="26"/>
  <c r="Q233" i="26"/>
  <c r="R233" i="26"/>
  <c r="S233" i="26"/>
  <c r="T233" i="26"/>
  <c r="K233" i="26"/>
  <c r="L233" i="26"/>
  <c r="M233" i="26"/>
  <c r="N233" i="26"/>
  <c r="AC230" i="26"/>
  <c r="AD230" i="26"/>
  <c r="AE230" i="26"/>
  <c r="AF230" i="26"/>
  <c r="W230" i="26"/>
  <c r="X230" i="26"/>
  <c r="Y230" i="26"/>
  <c r="Z230" i="26"/>
  <c r="Q230" i="26"/>
  <c r="R230" i="26"/>
  <c r="S230" i="26"/>
  <c r="T230" i="26"/>
  <c r="K230" i="26"/>
  <c r="L230" i="26"/>
  <c r="M230" i="26"/>
  <c r="N230" i="26"/>
  <c r="O230" i="26"/>
  <c r="K227" i="26"/>
  <c r="L227" i="26"/>
  <c r="M227" i="26"/>
  <c r="N227" i="26"/>
  <c r="P227" i="26"/>
  <c r="Q227" i="26"/>
  <c r="R227" i="26"/>
  <c r="S227" i="26"/>
  <c r="T227" i="26"/>
  <c r="V227" i="26"/>
  <c r="W227" i="26"/>
  <c r="X227" i="26"/>
  <c r="Y227" i="26"/>
  <c r="Z227" i="26"/>
  <c r="AB227" i="26"/>
  <c r="AC227" i="26"/>
  <c r="AD227" i="26"/>
  <c r="AE227" i="26"/>
  <c r="AF227" i="26"/>
  <c r="AH227" i="26"/>
  <c r="K228" i="26"/>
  <c r="L228" i="26"/>
  <c r="M228" i="26"/>
  <c r="N228" i="26"/>
  <c r="P228" i="26"/>
  <c r="Q228" i="26"/>
  <c r="R228" i="26"/>
  <c r="S228" i="26"/>
  <c r="T228" i="26"/>
  <c r="V228" i="26"/>
  <c r="W228" i="26"/>
  <c r="X228" i="26"/>
  <c r="Y228" i="26"/>
  <c r="Z228" i="26"/>
  <c r="AB228" i="26"/>
  <c r="AC228" i="26"/>
  <c r="AD228" i="26"/>
  <c r="AE228" i="26"/>
  <c r="AF228" i="26"/>
  <c r="AH228" i="26"/>
  <c r="AF213" i="26"/>
  <c r="AE213" i="26"/>
  <c r="AD213" i="26"/>
  <c r="AC213" i="26"/>
  <c r="Z215" i="26"/>
  <c r="Y215" i="26"/>
  <c r="X215" i="26"/>
  <c r="W215" i="26"/>
  <c r="Z213" i="26"/>
  <c r="Y213" i="26"/>
  <c r="X213" i="26"/>
  <c r="W213" i="26"/>
  <c r="T213" i="26"/>
  <c r="S213" i="26"/>
  <c r="R213" i="26"/>
  <c r="Q213" i="26"/>
  <c r="N213" i="26"/>
  <c r="M213" i="26"/>
  <c r="L213" i="26"/>
  <c r="K213" i="26"/>
  <c r="H213" i="26"/>
  <c r="G213" i="26"/>
  <c r="F213" i="26"/>
  <c r="E213" i="26"/>
  <c r="AF208" i="26"/>
  <c r="AE208" i="26"/>
  <c r="AD208" i="26"/>
  <c r="AC208" i="26"/>
  <c r="Z208" i="26"/>
  <c r="Y208" i="26"/>
  <c r="X208" i="26"/>
  <c r="W208" i="26"/>
  <c r="T208" i="26"/>
  <c r="S208" i="26"/>
  <c r="R208" i="26"/>
  <c r="Q208" i="26"/>
  <c r="N210" i="26"/>
  <c r="M210" i="26"/>
  <c r="L210" i="26"/>
  <c r="K210" i="26"/>
  <c r="N208" i="26"/>
  <c r="M208" i="26"/>
  <c r="L208" i="26"/>
  <c r="K208" i="26"/>
  <c r="F208" i="26"/>
  <c r="G208" i="26"/>
  <c r="H208" i="26"/>
  <c r="F210" i="26"/>
  <c r="G210" i="26"/>
  <c r="H210" i="26"/>
  <c r="E210" i="26"/>
  <c r="E208" i="26"/>
  <c r="AF235" i="1"/>
  <c r="AF234" i="1" s="1"/>
  <c r="AE235" i="1"/>
  <c r="AE234" i="1" s="1"/>
  <c r="AD235" i="1"/>
  <c r="AD234" i="1" s="1"/>
  <c r="AC235" i="1"/>
  <c r="AC234" i="1" s="1"/>
  <c r="Q234" i="1"/>
  <c r="R234" i="1"/>
  <c r="S234" i="1"/>
  <c r="T234" i="1"/>
  <c r="H234" i="1"/>
  <c r="F210" i="1"/>
  <c r="G210" i="1"/>
  <c r="H210" i="1"/>
  <c r="E210" i="1"/>
  <c r="AB230" i="64"/>
  <c r="V230" i="64"/>
  <c r="P230" i="64"/>
  <c r="J230" i="64"/>
  <c r="AH227" i="64"/>
  <c r="AB227" i="64"/>
  <c r="AB208" i="64"/>
  <c r="V208" i="64"/>
  <c r="P208" i="64"/>
  <c r="J208" i="64"/>
  <c r="AB198" i="64"/>
  <c r="AB230" i="63"/>
  <c r="P232" i="63"/>
  <c r="V232" i="63" s="1"/>
  <c r="AB232" i="63" s="1"/>
  <c r="AH232" i="63" s="1"/>
  <c r="P235" i="63"/>
  <c r="V235" i="63" s="1"/>
  <c r="AB235" i="63" s="1"/>
  <c r="AH235" i="63" s="1"/>
  <c r="AI234" i="63" s="1"/>
  <c r="AH228" i="63"/>
  <c r="AB227" i="63"/>
  <c r="AH208" i="63"/>
  <c r="AB208" i="63"/>
  <c r="V208" i="63"/>
  <c r="P208" i="63"/>
  <c r="J208" i="63"/>
  <c r="AB198" i="63"/>
  <c r="J210" i="64"/>
  <c r="AH227" i="63"/>
  <c r="P210" i="63"/>
  <c r="I62" i="65"/>
  <c r="I60" i="65"/>
  <c r="I62" i="64"/>
  <c r="I60" i="64"/>
  <c r="AB228" i="3"/>
  <c r="I62" i="63"/>
  <c r="I60" i="63"/>
  <c r="AB227" i="3"/>
  <c r="J232" i="26"/>
  <c r="P232" i="26" s="1"/>
  <c r="V232" i="26" s="1"/>
  <c r="AB232" i="26" s="1"/>
  <c r="AH232" i="26" s="1"/>
  <c r="AH233" i="26"/>
  <c r="AB233" i="26"/>
  <c r="V233" i="26"/>
  <c r="P233" i="26"/>
  <c r="J233" i="26"/>
  <c r="V230" i="26"/>
  <c r="P230" i="26"/>
  <c r="J230" i="26"/>
  <c r="J228" i="26"/>
  <c r="J227" i="26"/>
  <c r="J226" i="26"/>
  <c r="P226" i="26" s="1"/>
  <c r="V226" i="26" s="1"/>
  <c r="AB226" i="26" s="1"/>
  <c r="AH226" i="26" s="1"/>
  <c r="J235" i="48"/>
  <c r="P235" i="48" s="1"/>
  <c r="V235" i="48" s="1"/>
  <c r="AB235" i="48" s="1"/>
  <c r="AH235" i="48" s="1"/>
  <c r="AH213" i="48"/>
  <c r="AB213" i="48"/>
  <c r="V213" i="48"/>
  <c r="P213" i="48"/>
  <c r="J213" i="48"/>
  <c r="AH208" i="48"/>
  <c r="AB208" i="48"/>
  <c r="V208" i="48"/>
  <c r="P208" i="48"/>
  <c r="J208" i="48"/>
  <c r="J235" i="42"/>
  <c r="P235" i="42" s="1"/>
  <c r="V235" i="42" s="1"/>
  <c r="AB235" i="42" s="1"/>
  <c r="AH235" i="42" s="1"/>
  <c r="AB228" i="42"/>
  <c r="AH228" i="42" s="1"/>
  <c r="AB230" i="42"/>
  <c r="AH230" i="42" s="1"/>
  <c r="AB227" i="42"/>
  <c r="AH227" i="42" s="1"/>
  <c r="AH213" i="42"/>
  <c r="AB213" i="42"/>
  <c r="V213" i="42"/>
  <c r="P213" i="42"/>
  <c r="J213" i="42"/>
  <c r="AH208" i="42"/>
  <c r="AB208" i="42"/>
  <c r="V208" i="42"/>
  <c r="P208" i="42"/>
  <c r="J208" i="42"/>
  <c r="AB198" i="42"/>
  <c r="J235" i="41"/>
  <c r="AH208" i="41"/>
  <c r="AB208" i="41"/>
  <c r="V208" i="41"/>
  <c r="P208" i="41"/>
  <c r="J208" i="41"/>
  <c r="J196" i="41"/>
  <c r="P196" i="41" s="1"/>
  <c r="J235" i="45"/>
  <c r="P235" i="45" s="1"/>
  <c r="V235" i="45" s="1"/>
  <c r="AB235" i="45" s="1"/>
  <c r="AH235" i="45" s="1"/>
  <c r="AB230" i="45"/>
  <c r="AH230" i="45" s="1"/>
  <c r="AB228" i="45"/>
  <c r="AH228" i="45" s="1"/>
  <c r="AB227" i="45"/>
  <c r="AH227" i="45" s="1"/>
  <c r="AH213" i="45"/>
  <c r="AB213" i="45"/>
  <c r="V213" i="45"/>
  <c r="P213" i="45"/>
  <c r="J213" i="45"/>
  <c r="AH208" i="45"/>
  <c r="AB208" i="45"/>
  <c r="V208" i="45"/>
  <c r="P208" i="45"/>
  <c r="J208" i="45"/>
  <c r="AH213" i="43"/>
  <c r="AB213" i="43"/>
  <c r="AB215" i="43"/>
  <c r="V213" i="43"/>
  <c r="P213" i="43"/>
  <c r="J213" i="43"/>
  <c r="AH208" i="43"/>
  <c r="AB208" i="43"/>
  <c r="P208" i="43"/>
  <c r="V208" i="43" s="1"/>
  <c r="J208" i="43"/>
  <c r="AB198" i="45"/>
  <c r="J196" i="45"/>
  <c r="P196" i="45" s="1"/>
  <c r="V196" i="45" s="1"/>
  <c r="AB196" i="45" s="1"/>
  <c r="J235" i="44"/>
  <c r="J231" i="44" s="1"/>
  <c r="AH208" i="44"/>
  <c r="AB208" i="44"/>
  <c r="V208" i="44"/>
  <c r="P208" i="44"/>
  <c r="J208" i="44"/>
  <c r="J235" i="43"/>
  <c r="P235" i="43" s="1"/>
  <c r="V235" i="43" s="1"/>
  <c r="AB235" i="43" s="1"/>
  <c r="AH235" i="43" s="1"/>
  <c r="J210" i="48"/>
  <c r="AB215" i="48"/>
  <c r="AH233" i="48"/>
  <c r="J210" i="42"/>
  <c r="P210" i="42"/>
  <c r="AB215" i="42"/>
  <c r="J210" i="45"/>
  <c r="P210" i="45"/>
  <c r="AB233" i="45"/>
  <c r="AH233" i="45" s="1"/>
  <c r="AB198" i="43"/>
  <c r="P210" i="43"/>
  <c r="AB227" i="43"/>
  <c r="AH227" i="43" s="1"/>
  <c r="AB228" i="43"/>
  <c r="AH228" i="43" s="1"/>
  <c r="AB230" i="43"/>
  <c r="AH230" i="43" s="1"/>
  <c r="P233" i="43"/>
  <c r="AB233" i="43"/>
  <c r="AH233" i="43" s="1"/>
  <c r="J198" i="40"/>
  <c r="J208" i="40"/>
  <c r="P208" i="40" s="1"/>
  <c r="V208" i="40" s="1"/>
  <c r="AB208" i="40" s="1"/>
  <c r="AH208" i="40" s="1"/>
  <c r="J210" i="40"/>
  <c r="P210" i="40"/>
  <c r="AH227" i="40"/>
  <c r="AH228" i="40"/>
  <c r="J235" i="40"/>
  <c r="P235" i="40" s="1"/>
  <c r="V235" i="40" s="1"/>
  <c r="AB235" i="40" s="1"/>
  <c r="AH235" i="40" s="1"/>
  <c r="AB198" i="39"/>
  <c r="J208" i="39"/>
  <c r="P208" i="39"/>
  <c r="V208" i="39"/>
  <c r="AB208" i="39"/>
  <c r="AH208" i="39"/>
  <c r="J210" i="39"/>
  <c r="P210" i="39"/>
  <c r="AB213" i="39"/>
  <c r="AH213" i="39"/>
  <c r="AB215" i="39"/>
  <c r="AB227" i="39"/>
  <c r="AH227" i="39"/>
  <c r="AB228" i="39"/>
  <c r="AH228" i="39"/>
  <c r="AB230" i="39"/>
  <c r="AH230" i="39" s="1"/>
  <c r="J235" i="39"/>
  <c r="P235" i="39" s="1"/>
  <c r="V235" i="39" s="1"/>
  <c r="AB235" i="39" s="1"/>
  <c r="AH235" i="39" s="1"/>
  <c r="J208" i="36"/>
  <c r="P208" i="36"/>
  <c r="V208" i="36"/>
  <c r="AB208" i="36"/>
  <c r="AH208" i="36"/>
  <c r="J210" i="36"/>
  <c r="J213" i="36"/>
  <c r="P213" i="36"/>
  <c r="V213" i="36"/>
  <c r="AB213" i="36"/>
  <c r="AH213" i="36"/>
  <c r="AB215" i="36"/>
  <c r="AH227" i="36"/>
  <c r="AH228" i="36"/>
  <c r="AH230" i="36"/>
  <c r="AB233" i="36"/>
  <c r="AH233" i="36" s="1"/>
  <c r="J235" i="36"/>
  <c r="P235" i="36" s="1"/>
  <c r="V235" i="36" s="1"/>
  <c r="AB235" i="36" s="1"/>
  <c r="AH235" i="36" s="1"/>
  <c r="AB198" i="37"/>
  <c r="J208" i="37"/>
  <c r="P208" i="37"/>
  <c r="V208" i="37"/>
  <c r="AB208" i="37"/>
  <c r="AH208" i="37"/>
  <c r="J213" i="37"/>
  <c r="P213" i="37"/>
  <c r="V213" i="37"/>
  <c r="AB213" i="37"/>
  <c r="AH213" i="37"/>
  <c r="AB215" i="37"/>
  <c r="AB227" i="37"/>
  <c r="AH227" i="37" s="1"/>
  <c r="AB228" i="37"/>
  <c r="AH228" i="37" s="1"/>
  <c r="AB230" i="37"/>
  <c r="AH230" i="37" s="1"/>
  <c r="AB233" i="37"/>
  <c r="AH233" i="37" s="1"/>
  <c r="J235" i="37"/>
  <c r="P235" i="37" s="1"/>
  <c r="V235" i="37" s="1"/>
  <c r="AB235" i="37" s="1"/>
  <c r="AH235" i="37" s="1"/>
  <c r="AB198" i="38"/>
  <c r="J208" i="38"/>
  <c r="P208" i="38" s="1"/>
  <c r="V208" i="38" s="1"/>
  <c r="AB208" i="38"/>
  <c r="AH208" i="38" s="1"/>
  <c r="J213" i="38"/>
  <c r="P213" i="38"/>
  <c r="V213" i="38"/>
  <c r="AB213" i="38"/>
  <c r="AH213" i="38"/>
  <c r="AB215" i="38"/>
  <c r="AB227" i="38"/>
  <c r="AH227" i="38"/>
  <c r="AB228" i="38"/>
  <c r="AH228" i="38"/>
  <c r="AB230" i="38"/>
  <c r="AH230" i="38"/>
  <c r="J235" i="38"/>
  <c r="P235" i="38" s="1"/>
  <c r="V235" i="38" s="1"/>
  <c r="AB235" i="38" s="1"/>
  <c r="AH235" i="38" s="1"/>
  <c r="AB198" i="35"/>
  <c r="J208" i="35"/>
  <c r="P208" i="35"/>
  <c r="V208" i="35"/>
  <c r="AB208" i="35"/>
  <c r="AH208" i="35" s="1"/>
  <c r="J210" i="35"/>
  <c r="J213" i="35"/>
  <c r="P213" i="35"/>
  <c r="V213" i="35"/>
  <c r="AB213" i="35"/>
  <c r="AH213" i="35" s="1"/>
  <c r="AB215" i="35"/>
  <c r="J227" i="35"/>
  <c r="P227" i="35"/>
  <c r="V227" i="35"/>
  <c r="AB227" i="35"/>
  <c r="AH227" i="35" s="1"/>
  <c r="J228" i="35"/>
  <c r="P228" i="35"/>
  <c r="V228" i="35"/>
  <c r="AB228" i="35"/>
  <c r="AH228" i="35" s="1"/>
  <c r="J230" i="35"/>
  <c r="P230" i="35" s="1"/>
  <c r="V230" i="35" s="1"/>
  <c r="AB230" i="35" s="1"/>
  <c r="AH230" i="35" s="1"/>
  <c r="P233" i="35"/>
  <c r="V233" i="35" s="1"/>
  <c r="AB233" i="35" s="1"/>
  <c r="AH233" i="35" s="1"/>
  <c r="J235" i="35"/>
  <c r="P235" i="35" s="1"/>
  <c r="V235" i="35" s="1"/>
  <c r="AB235" i="35" s="1"/>
  <c r="AH235" i="35" s="1"/>
  <c r="AB198" i="34"/>
  <c r="J208" i="34"/>
  <c r="P208" i="34"/>
  <c r="V208" i="34"/>
  <c r="AB208" i="34"/>
  <c r="AH208" i="34"/>
  <c r="J210" i="34"/>
  <c r="P210" i="34"/>
  <c r="AB213" i="34"/>
  <c r="AH213" i="34"/>
  <c r="AB230" i="34"/>
  <c r="AH230" i="34" s="1"/>
  <c r="P235" i="34"/>
  <c r="V235" i="34" s="1"/>
  <c r="AB235" i="34" s="1"/>
  <c r="AH235" i="34" s="1"/>
  <c r="I60" i="33"/>
  <c r="I62" i="33"/>
  <c r="AB198" i="33"/>
  <c r="J208" i="33"/>
  <c r="P208" i="33"/>
  <c r="V208" i="33"/>
  <c r="AB208" i="33"/>
  <c r="AH208" i="33" s="1"/>
  <c r="J210" i="33"/>
  <c r="P210" i="33"/>
  <c r="J213" i="33"/>
  <c r="P213" i="33"/>
  <c r="V213" i="33"/>
  <c r="AB213" i="33"/>
  <c r="AB215" i="33"/>
  <c r="AB228" i="33"/>
  <c r="AH228" i="33" s="1"/>
  <c r="AB230" i="33"/>
  <c r="AH230" i="33" s="1"/>
  <c r="AB233" i="33"/>
  <c r="AH233" i="33" s="1"/>
  <c r="J235" i="33"/>
  <c r="P235" i="33" s="1"/>
  <c r="V235" i="33" s="1"/>
  <c r="AB235" i="33" s="1"/>
  <c r="AH235" i="33" s="1"/>
  <c r="I60" i="32"/>
  <c r="I62" i="32"/>
  <c r="AB198" i="32"/>
  <c r="J208" i="32"/>
  <c r="P208" i="32"/>
  <c r="V208" i="32"/>
  <c r="AB208" i="32"/>
  <c r="AH208" i="32"/>
  <c r="J210" i="32"/>
  <c r="P210" i="32"/>
  <c r="AB213" i="32"/>
  <c r="AH213" i="32"/>
  <c r="AB230" i="32"/>
  <c r="AH230" i="32" s="1"/>
  <c r="J235" i="32"/>
  <c r="P235" i="32" s="1"/>
  <c r="V235" i="32" s="1"/>
  <c r="AB235" i="32" s="1"/>
  <c r="AH235" i="32" s="1"/>
  <c r="I60" i="31"/>
  <c r="I62" i="31"/>
  <c r="J208" i="31"/>
  <c r="P208" i="31"/>
  <c r="V208" i="31"/>
  <c r="AB208" i="31"/>
  <c r="AH208" i="31"/>
  <c r="J210" i="31"/>
  <c r="P210" i="31"/>
  <c r="AB213" i="31"/>
  <c r="AH213" i="31"/>
  <c r="J235" i="31"/>
  <c r="P235" i="31" s="1"/>
  <c r="V235" i="31" s="1"/>
  <c r="AB235" i="31" s="1"/>
  <c r="AH235" i="31" s="1"/>
  <c r="AB198" i="30"/>
  <c r="J208" i="30"/>
  <c r="P208" i="30"/>
  <c r="V208" i="30"/>
  <c r="AB208" i="30"/>
  <c r="AH208" i="30"/>
  <c r="J210" i="30"/>
  <c r="P210" i="30"/>
  <c r="AH213" i="30"/>
  <c r="AB227" i="30"/>
  <c r="AH227" i="30" s="1"/>
  <c r="AB228" i="30"/>
  <c r="AH228" i="30" s="1"/>
  <c r="AB230" i="30"/>
  <c r="AH230" i="30" s="1"/>
  <c r="J235" i="30"/>
  <c r="P235" i="30" s="1"/>
  <c r="V235" i="30" s="1"/>
  <c r="AB235" i="30" s="1"/>
  <c r="AH235" i="30" s="1"/>
  <c r="I60" i="29"/>
  <c r="I62" i="29"/>
  <c r="AB198" i="29"/>
  <c r="J208" i="29"/>
  <c r="P208" i="29"/>
  <c r="V208" i="29"/>
  <c r="AB208" i="29"/>
  <c r="AH208" i="29"/>
  <c r="AB213" i="29"/>
  <c r="AH213" i="29"/>
  <c r="AB227" i="29"/>
  <c r="AH227" i="29" s="1"/>
  <c r="AB228" i="29"/>
  <c r="AH228" i="29" s="1"/>
  <c r="AB230" i="29"/>
  <c r="AH230" i="29" s="1"/>
  <c r="J235" i="29"/>
  <c r="P235" i="29" s="1"/>
  <c r="V235" i="29" s="1"/>
  <c r="AB235" i="29" s="1"/>
  <c r="AH235" i="29" s="1"/>
  <c r="I60" i="6"/>
  <c r="I62" i="6"/>
  <c r="J208" i="6"/>
  <c r="P208" i="6"/>
  <c r="V208" i="6"/>
  <c r="AB208" i="6"/>
  <c r="AH208" i="6"/>
  <c r="J227" i="6"/>
  <c r="P227" i="6"/>
  <c r="V227" i="6"/>
  <c r="AB227" i="6"/>
  <c r="AH227" i="6" s="1"/>
  <c r="J228" i="6"/>
  <c r="P228" i="6"/>
  <c r="V228" i="6"/>
  <c r="AB228" i="6"/>
  <c r="AH228" i="6" s="1"/>
  <c r="I60" i="47"/>
  <c r="I62" i="47"/>
  <c r="J208" i="47"/>
  <c r="P208" i="47"/>
  <c r="V208" i="47"/>
  <c r="AB208" i="47"/>
  <c r="AH208" i="47"/>
  <c r="J210" i="47"/>
  <c r="J213" i="47"/>
  <c r="P213" i="47"/>
  <c r="V213" i="47"/>
  <c r="AB213" i="47"/>
  <c r="AB215" i="47"/>
  <c r="AH233" i="47"/>
  <c r="I60" i="5"/>
  <c r="I62" i="5"/>
  <c r="AB198" i="5"/>
  <c r="J208" i="5"/>
  <c r="P208" i="5"/>
  <c r="AB208" i="5"/>
  <c r="AH208" i="5"/>
  <c r="J213" i="5"/>
  <c r="P213" i="5" s="1"/>
  <c r="AB213" i="5"/>
  <c r="AH213" i="5" s="1"/>
  <c r="AB215" i="5"/>
  <c r="AB227" i="5"/>
  <c r="AH227" i="5" s="1"/>
  <c r="AB228" i="5"/>
  <c r="AH228" i="5" s="1"/>
  <c r="AB230" i="5"/>
  <c r="AH230" i="5" s="1"/>
  <c r="J233" i="5"/>
  <c r="P233" i="5"/>
  <c r="V233" i="5"/>
  <c r="AB233" i="5"/>
  <c r="AH233" i="5"/>
  <c r="J235" i="5"/>
  <c r="P235" i="5" s="1"/>
  <c r="V235" i="5" s="1"/>
  <c r="AB235" i="5" s="1"/>
  <c r="AH235" i="5" s="1"/>
  <c r="I60" i="3"/>
  <c r="I62" i="3"/>
  <c r="AB198" i="3"/>
  <c r="J208" i="3"/>
  <c r="P208" i="3"/>
  <c r="V208" i="3"/>
  <c r="AB208" i="3"/>
  <c r="AH208" i="3"/>
  <c r="J210" i="3"/>
  <c r="P210" i="3"/>
  <c r="J213" i="3"/>
  <c r="P213" i="3"/>
  <c r="V213" i="3"/>
  <c r="AB213" i="3"/>
  <c r="AB215" i="3"/>
  <c r="J226" i="3"/>
  <c r="P226" i="3" s="1"/>
  <c r="V226" i="3" s="1"/>
  <c r="AB226" i="3" s="1"/>
  <c r="AH226" i="3" s="1"/>
  <c r="AH227" i="3"/>
  <c r="AH228" i="3"/>
  <c r="AB230" i="3"/>
  <c r="AH230" i="3"/>
  <c r="AB233" i="3"/>
  <c r="AH233" i="3"/>
  <c r="J235" i="3"/>
  <c r="P235" i="3" s="1"/>
  <c r="V235" i="3" s="1"/>
  <c r="AB235" i="3" s="1"/>
  <c r="AH235" i="3" s="1"/>
  <c r="I60" i="26"/>
  <c r="I62" i="26"/>
  <c r="J208" i="26"/>
  <c r="P208" i="26"/>
  <c r="V208" i="26"/>
  <c r="AB208" i="26"/>
  <c r="AH208" i="26"/>
  <c r="J210" i="26"/>
  <c r="P210" i="26"/>
  <c r="J213" i="26"/>
  <c r="P213" i="26"/>
  <c r="V213" i="26"/>
  <c r="AB213" i="26"/>
  <c r="AH213" i="26"/>
  <c r="AB215" i="26"/>
  <c r="AB230" i="26"/>
  <c r="J234" i="26"/>
  <c r="P234" i="26"/>
  <c r="V234" i="26"/>
  <c r="AB234" i="26"/>
  <c r="I60" i="1"/>
  <c r="I62" i="1"/>
  <c r="J210" i="1"/>
  <c r="P226" i="1"/>
  <c r="V226" i="1" s="1"/>
  <c r="J232" i="1"/>
  <c r="P232" i="1" s="1"/>
  <c r="V232" i="1" s="1"/>
  <c r="J235" i="1"/>
  <c r="J229" i="1" s="1"/>
  <c r="P235" i="1" l="1"/>
  <c r="V235" i="1" s="1"/>
  <c r="AB235" i="1" s="1"/>
  <c r="S235" i="39"/>
  <c r="Y235" i="39" s="1"/>
  <c r="AE235" i="39" s="1"/>
  <c r="M234" i="39"/>
  <c r="R235" i="39"/>
  <c r="X235" i="39" s="1"/>
  <c r="AD235" i="39" s="1"/>
  <c r="L234" i="39"/>
  <c r="P235" i="44"/>
  <c r="V235" i="44" s="1"/>
  <c r="AB235" i="44" s="1"/>
  <c r="AH235" i="44" s="1"/>
  <c r="T235" i="39"/>
  <c r="Z235" i="39" s="1"/>
  <c r="AF235" i="39" s="1"/>
  <c r="J234" i="39"/>
  <c r="Q235" i="39"/>
  <c r="W235" i="39" s="1"/>
  <c r="AC235" i="39" s="1"/>
  <c r="P234" i="1" l="1"/>
  <c r="V234" i="1"/>
  <c r="AH235" i="1"/>
  <c r="AH234" i="1" s="1"/>
  <c r="AB234" i="1"/>
</calcChain>
</file>

<file path=xl/sharedStrings.xml><?xml version="1.0" encoding="utf-8"?>
<sst xmlns="http://schemas.openxmlformats.org/spreadsheetml/2006/main" count="11264" uniqueCount="182">
  <si>
    <t>b)procentul de la litera a) incheiate in mai putin de 30 zile calendaristice</t>
  </si>
  <si>
    <t>Trim. I</t>
  </si>
  <si>
    <t>Trim.II</t>
  </si>
  <si>
    <t>Trim.III</t>
  </si>
  <si>
    <t>Trim.IV</t>
  </si>
  <si>
    <t>Total an</t>
  </si>
  <si>
    <t xml:space="preserve">Populatie </t>
  </si>
  <si>
    <t>Inst. pub. Bug.</t>
  </si>
  <si>
    <t>Ind./com./serv.</t>
  </si>
  <si>
    <t>&lt; 15 zile</t>
  </si>
  <si>
    <t xml:space="preserve">intre 15 si 30 de zile </t>
  </si>
  <si>
    <t>30-60 zile</t>
  </si>
  <si>
    <t>CONTRACTAREA FURNIZARII APEI/PRELUARII APELOR UZATE SI METEORICE</t>
  </si>
  <si>
    <t>MASURAREA SI GESTIUNEA VOLUMULUI DE APA</t>
  </si>
  <si>
    <t>d) ponderea din nr de reclamatii de la lit.c) care sunt justificate;</t>
  </si>
  <si>
    <t>f) numarul de sesizari privind parametrii apei furnizate raportat la numarul total de utilizatori;</t>
  </si>
  <si>
    <t>CITIREA, FACTURAREA SI INCASAREA CONTRAVALORII SERVICIILOR DE APA SI DE CANALIZARE FURNIZATE/PRESTATE</t>
  </si>
  <si>
    <t>a) numarul de reclamatii privind facturarea raportat la numarul  total de utilizatori;</t>
  </si>
  <si>
    <t xml:space="preserve">d) valoarea totala a facturilor incasate raportata la valoarea totala a facturilor emise </t>
  </si>
  <si>
    <t>INTRERUPERI SI LIMITARI IN FURNIZAREA APEI SI IN PRELUAREA APELOR DE CANALIZARE</t>
  </si>
  <si>
    <t>INTRERUPERI ACCIDENTALE</t>
  </si>
  <si>
    <t>1.5.2</t>
  </si>
  <si>
    <t>INTRERUPERI PROGRAMATE</t>
  </si>
  <si>
    <t>a) numarul de intreruperi programate;</t>
  </si>
  <si>
    <t>1.5.3</t>
  </si>
  <si>
    <t xml:space="preserve">INTRERUPERI DATORATE NERESPECTARII PREVEDERILOR CONTRACTUALE DE CATRE UTILIZATOR </t>
  </si>
  <si>
    <t>Populatie</t>
  </si>
  <si>
    <t>CALITATEA  SERVICIILOR  FURNIZATE</t>
  </si>
  <si>
    <t>RASPUNSURI LA SOLICITARILE SCRISE ALE UTILIZATORILOR</t>
  </si>
  <si>
    <t>INDICATORI  DE  PERFORMANTA  GARANTATI</t>
  </si>
  <si>
    <t>INDICATORI  DE  PERFORMANTA  GARANTATI  PRIN LICENTA DE FURNIZARE/PRESTARE  A  SERVICIULUI DE APA</t>
  </si>
  <si>
    <t>mc</t>
  </si>
  <si>
    <t>km</t>
  </si>
  <si>
    <t>INDICATORI  DE  PERFORMANTA  GARANTATI  PRIN LICENTA DE FURNIZARE/PRESTARE  A  SERVICIULUI DE CANALIZARE</t>
  </si>
  <si>
    <t>INDICATORI DE PERFORMANTA STATISTICI PENTRU SERVICIUL DE ALIMENTARE CU APA SI CANALIZARE</t>
  </si>
  <si>
    <t>BRANSAREA SI RACORDAREA UTILIZATORULUI</t>
  </si>
  <si>
    <t>d) raportul dintre nr. de racorduri si lungimea retelei de canalizare;</t>
  </si>
  <si>
    <t>ABATERI ALE UTILIZATORULUI DE CONDITIILE DE CONTRACT</t>
  </si>
  <si>
    <t xml:space="preserve">        INDICATORI DE PERFORMANTA</t>
  </si>
  <si>
    <t>a) numarul de contracte incheiate, pe categorii de utilizatori , raportat la numarul de solicitari;</t>
  </si>
  <si>
    <t>c) nr. de solicitari de modificare a prevederilor contractuale, raportat la numarul de solicitari de modificare a prevederilor contractuale rezolvate in 30 de zile</t>
  </si>
  <si>
    <t>1.5.1</t>
  </si>
  <si>
    <t>d) durata zilnica de alimentare cu apa calculata ca raport intre numarul mediu zilnic de ore in care se asigura apa la utilizator la 24 ore, pe categorii de  utilizatori ;</t>
  </si>
  <si>
    <t>a) gradul de deservire exprimat ca raport intre lungimea retelei de canalizare si lungimea totala a strazilor;</t>
  </si>
  <si>
    <t>b) gradul de extindere al retelei exprimat ca raport intre lungimea retelei data in functiune la inceputul perioadei date in calcul si cea de la sfarsitul perioadei date in calcul ;</t>
  </si>
  <si>
    <t>a) raportul dintre numarul de bransamente si lungimea  retelei de distributie a apei;</t>
  </si>
  <si>
    <t>b) lungimea retelei de distributie raportata la numarul de locuitori asigurati cu apa;</t>
  </si>
  <si>
    <t>c)raportul dintre lungimea retelei totale de apa raportata la numarul de locuitori asigurati cu apa;</t>
  </si>
  <si>
    <t>e) raportul dintre populatia racordata la canalizare si populatia totala a localitatii.</t>
  </si>
  <si>
    <t>c) valoarea despagubirilor platite de utilizatori, pentru daune datorate deversarii apelor ce nu respecta conditiile de deversare din contract, raportat la valoarea facturata aferenta apelor uzate, pe tipuri de servicii si categorii de utilizatori.</t>
  </si>
  <si>
    <t>OPERATOR : COMPANIA REGIONALA DE APA BACAU</t>
  </si>
  <si>
    <t xml:space="preserve">SERVICIUL  PUBLIC  DE  ALIMENTARE  CU  APĂ  ŞI  DE  CANALIZARE </t>
  </si>
  <si>
    <t xml:space="preserve">LOCALITATEA  BACAU    </t>
  </si>
  <si>
    <t xml:space="preserve">LOCALITATEA  MOINESTI    </t>
  </si>
  <si>
    <t>LOCALITATEA  TARGU OCNA</t>
  </si>
  <si>
    <t>LOCALITATEA  DARMANESTI</t>
  </si>
  <si>
    <t>LOCALITATEA  ARDEOANI</t>
  </si>
  <si>
    <t>LOCALITATEA  CASIN</t>
  </si>
  <si>
    <t>LOCALITATEA  CLEJA</t>
  </si>
  <si>
    <t>LOCALITATEA COTOFANESTI</t>
  </si>
  <si>
    <t>LOCALITATEA DOFTEANA</t>
  </si>
  <si>
    <t>LOCALITATEA FARAOANI</t>
  </si>
  <si>
    <t>LOCALITATEA FILIPESTI</t>
  </si>
  <si>
    <t>LOCALITATEA HEMEIUSI</t>
  </si>
  <si>
    <t>LOCALITATEA MAGIRESTI</t>
  </si>
  <si>
    <t>LOCALITATEA MARGINENI</t>
  </si>
  <si>
    <t>LOCALITATEA PODURI</t>
  </si>
  <si>
    <t>LOCALITATEA PRAJESTI</t>
  </si>
  <si>
    <t>LOCALITATEA STEFAN CEL MARE</t>
  </si>
  <si>
    <t>LOCALITATEA TAMASI</t>
  </si>
  <si>
    <t>LOCALITATEA TATARASTI</t>
  </si>
  <si>
    <t>LOCALITATEA TRAIAN</t>
  </si>
  <si>
    <t>LOCALITATEA SAUCESTI</t>
  </si>
  <si>
    <t xml:space="preserve">LOCALITATEA  BUHUSI   </t>
  </si>
  <si>
    <t xml:space="preserve"> </t>
  </si>
  <si>
    <t>LOCALITATEA LETEA VECHE</t>
  </si>
  <si>
    <t>CALITATEA SERVICIILOR FURNIZATE</t>
  </si>
  <si>
    <t>a) numarul anual de contoare montate, ca urmare a solicitarilor, raportat la numarul de solicitari;</t>
  </si>
  <si>
    <t>%</t>
  </si>
  <si>
    <t>d) numarul de solicitari la care intervalul de timp, dintre momentul inregistrarii cererii de bransare/racordare a utilizatorului, pana la  primirea de catre acesta a avizului de bransare/racordare, este mai mic de 15/30/60 zile calendaristice</t>
  </si>
  <si>
    <t xml:space="preserve">b) numărul  de  solicitări  de branşare la sistemul  public  de  alimentare cu  apă diferenţiat  pe categorii  de  utilizatori raportat la numarul total de solicitari;  </t>
  </si>
  <si>
    <t xml:space="preserve">c)  numărul  de  solicitări de racordare  la  sistemul  public  de  canalizare, diferenţiat  pe categorii  de  utilizatori raportat la numarul total de solicitari;  </t>
  </si>
  <si>
    <t>b) numarul de reclamatii de la lit.a) rezolvate in termen de 10 zile ;</t>
  </si>
  <si>
    <t>c) numarul de reclamatii de la lit.a) care s-au dovedit a fi justificate</t>
  </si>
  <si>
    <t>b) numarul de utilizatori afectati de intreruperile neprogramate anuntate, raportat la numarul total de utilizatori pe categorii de utilizatori;</t>
  </si>
  <si>
    <t>e) numarul de utilizatori afectati de intreruperile accidentale raportat la numarul total de utilizatori pe categorii de utilizatori;</t>
  </si>
  <si>
    <t>d) numarul de intreruperi cu durata programata depasita, raportat la numarul total de intreruperi programate pe categorii de utilizatori;</t>
  </si>
  <si>
    <t xml:space="preserve"> c) numarul de contracte reziliate  pentru neplata  serviciilor  furnizate raportat la numarul total de utilizatori pe categorii de utilizatori;</t>
  </si>
  <si>
    <t>d) valoarea despăgubirilor plătite de operator, pentru nerespectarea condițiilor și parametrilor de calitate stabiliți în contract, raportată la valoarea facturii pentru apa și categorii de utilizatori;</t>
  </si>
  <si>
    <t>f) numărul de reclamații privind gradul de asigurare în funcționare raportat la numarul total de utilizatori pe categorii de utilizatori.</t>
  </si>
  <si>
    <t>a) numarul  de sesizari scrise,  altele  decat  cele  prevazute  la  celelalte articole, in  care  se  precizeaza  ca  este   obligatoriu  raspunsul  operatorului raportat la numarul total de sesizari;</t>
  </si>
  <si>
    <t>b) procentul  din  totalul de la  lit. a)  la  care s-a  raspuns  intr-un  termen mai  mic  de  30 de zile  calendaristice.</t>
  </si>
  <si>
    <t>a) numărul  de  solicitări  de branşare la sistemul  public  de  alimentare   cu  apă si canalizare, diferenţiat  pe  categorii  de  utilizatori raportat la numarul total de solicitari;</t>
  </si>
  <si>
    <t>Valori urmarite la nivelul anului de raportare</t>
  </si>
  <si>
    <t>l/pers/zi</t>
  </si>
  <si>
    <t>a) numarul de intreruperi neprogramate anuntate, pentru toate categoriile  de utilizatori;</t>
  </si>
  <si>
    <t xml:space="preserve">c) durata medie a intreruperilor,raportata la 24 de ore,  pe categorii de utilizatori;  </t>
  </si>
  <si>
    <t>d) numarul de intreruperi accidentale, pentru toate  categoriile  de utilizatori;</t>
  </si>
  <si>
    <t xml:space="preserve">f) durata medie a intreruperilor ,raportata la 24 de ore,  pe categorii de utilizatori; </t>
  </si>
  <si>
    <t>b) durata medie a intreruperilor programate raportate la 24 de ore; (ORE)</t>
  </si>
  <si>
    <t>kwh</t>
  </si>
  <si>
    <t>buc</t>
  </si>
  <si>
    <t xml:space="preserve">a) numarul de cazuri de nerespectare de catre utilizatori a conditiilor  de descarcare a apelor uzate si meteorice in retelele de canalizare,raportat pe numarul total de utilizatori ,  pe tipuri de utilizatori  </t>
  </si>
  <si>
    <t>b) numarul de sistari a prestarii serviciului public de canalizare,raportat pe numarul total de utilizatori, pe tipuri de  utilizatori datorat nerespectarii  de utilizator a conditiilor de deversare;</t>
  </si>
  <si>
    <t>LOCALITATEA  PALANCA</t>
  </si>
  <si>
    <t>BRANSAREA/RACORDAREA UTILIZATORILOR</t>
  </si>
  <si>
    <t>B</t>
  </si>
  <si>
    <t>C</t>
  </si>
  <si>
    <t>D</t>
  </si>
  <si>
    <t>E</t>
  </si>
  <si>
    <t>F</t>
  </si>
  <si>
    <t>e) procentul de solicitari de la lit.c) care au fost rezolvate in mai putin de 8 zile de la comunicarii rezultatului verificarii metrologice;</t>
  </si>
  <si>
    <t>Ținta 2026</t>
  </si>
  <si>
    <t>I</t>
  </si>
  <si>
    <t>II</t>
  </si>
  <si>
    <t>III</t>
  </si>
  <si>
    <t>IV</t>
  </si>
  <si>
    <t xml:space="preserve">U.M.  </t>
  </si>
  <si>
    <t>b) numarul anual de contoare montate la utilizatorii fara contor, raportat la numarul total de utilizatori fara contor;</t>
  </si>
  <si>
    <t>Tinta 2027</t>
  </si>
  <si>
    <t>c) numarul anual de reclamatii privind precizia contoarelor, raportat la numarul total de contoare</t>
  </si>
  <si>
    <t>tinta 2028</t>
  </si>
  <si>
    <t>tinta 2029</t>
  </si>
  <si>
    <t>tinta 2030</t>
  </si>
  <si>
    <t>g) cantitatea de apa furnizata raportata la numarul total de locuitori de tip casnic deserviti</t>
  </si>
  <si>
    <t>minim 91 l/pers/zi</t>
  </si>
  <si>
    <t>a) numarul  de reclamatii privind parametri de calitate ai apei  potabile furnizate, raportat la numarul total de utilizatori, pe tipuri de utilizatori și parametrii reclamati</t>
  </si>
  <si>
    <t>b) numarul  de reclamatii privind intreruperile  serviciului de canalizare, raportat la numarul total de utilizatori, pe tipuri de utilizatori</t>
  </si>
  <si>
    <t>c) procentul  din  totalul de la  lit. a)  din vina operatorului</t>
  </si>
  <si>
    <t>33.8%</t>
  </si>
  <si>
    <t>e) gradul de acoperire exprimat ca raport intre lungimea retelei de distributie apa si lungimea totala a strazilor ;</t>
  </si>
  <si>
    <t>f) gradul de contorizare exprimat ca raport intre numarul de bransamente contorizate  și numarul total de bransamente</t>
  </si>
  <si>
    <t>LOCALITATEA  SARATA</t>
  </si>
  <si>
    <t>LOCALITATEA TG. TROTUS</t>
  </si>
  <si>
    <t>LOCALITATEA BOGDANESTI</t>
  </si>
  <si>
    <t>nr.</t>
  </si>
  <si>
    <t>c) numarul de utilizatori afectati de aceste intreruperi raportat la numarul total de utilizatori, pe categorii de utilizatori;</t>
  </si>
  <si>
    <t>a)  numarul de  utilizatori carora li s-a intrerupt furnizarea serviciului de apa pentru neplata facturii raportat la numarul total de utilizatori, pe categorii de utilizatori;</t>
  </si>
  <si>
    <t xml:space="preserve"> b) numarul de utilizatori carora li s-a intrerupt prestarea serviciului de canalizare pentru neplata facturii, raportat la numarul total de utilizatori, pe categorii de utilizatori;</t>
  </si>
  <si>
    <t>d) numarul  de  intreruperi  datorate  nerespectarii  prevederilor contractuale, pe  categorii de  utilizatori, per total servicii si clauze contractuale nerespectate;</t>
  </si>
  <si>
    <t xml:space="preserve">e) numarul de utilizatori carora li s-a intrerupt furnizarea serviciilor, realimentati in mai putin de 3 zile, raportat la numarul total de intreruperi, pe categorii de utilizatori </t>
  </si>
  <si>
    <t>e) valoarea despăgubirilor plătite de operator, pentru nerespectarea condițiilor și parametrilor de calitate stabiliți în contract, raportată la valoarea facturii pentru canalizare și categorii de utilizatori;</t>
  </si>
  <si>
    <t>a)apa care nu aduce venituri exprimată ca diferența dintre volumul de apă tratată, iesit din statia de tratare și consumul autorizat facturat, raportată la volumul de apă tratată, iesit din statia de tratare</t>
  </si>
  <si>
    <t>loc</t>
  </si>
  <si>
    <t>nr</t>
  </si>
  <si>
    <t xml:space="preserve"> ** nr. pt. populatia totala a localitatii a fost actualizat/modificat - actualizare a fost realizată pe baza informațiilor oficiale furnizate de Anuarul Statistic al Județului Bacău – Ediția 2026</t>
  </si>
  <si>
    <t>b) gradul de extindere al retelei exprimat ca raport intre lungimea retelei data in  functiune la inceputul perioadei luate in calcul si cea de la sfarsitul perioadei luate in calcul ;</t>
  </si>
  <si>
    <t>c) consumul specific de energie electrica pentru furnizarea apei; calculat ca raport intre cantitatea totala de energie electrica consumata anual si cantitatea de apa furnizata</t>
  </si>
  <si>
    <t xml:space="preserve"> Nr. 1380/30.09.2026</t>
  </si>
  <si>
    <t>INDICATORI DE PERFORMANTA GARANTATI</t>
  </si>
  <si>
    <t>BRABSAREA/RACORDAREA UTILIZATORILOR</t>
  </si>
  <si>
    <t>BRANSAREA /RACORDAREA UTILIZATORILOR</t>
  </si>
  <si>
    <t>ABATERI ALE UTILIZATORILOR DE LA CONDITIILE DE CONTRACT</t>
  </si>
  <si>
    <t>c) consumul specific de energie electrica pentru evacuarea si epurarea apei uzate calculat ca raport intre cantitatea totala de energie electrica consumata anual pentru prestarea seviciului si cantitatea de apa uzata evacuata;</t>
  </si>
  <si>
    <t>Anexa nr. 2</t>
  </si>
  <si>
    <t>Situația evoluției datelor tehnice și operaționale privind serviciul de alimentare cu apă  și de canalizare, pentru perioada 2026–2030 UAT BACAU</t>
  </si>
  <si>
    <t>Situația evoluției datelor tehnice și operaționale privind serviciul de alimentare cu apă  și de canalizare, pentru perioada 2026–2030 UAT BUHUSI</t>
  </si>
  <si>
    <t>Situația evoluției datelor tehnice și operaționale privind serviciul de alimentare cu apă  și de canalizare, pentru perioada 2026–2030 UAT MOINESTI</t>
  </si>
  <si>
    <t>Situația evoluției datelor tehnice și operaționale privind serviciul de alimentare cu apă  și de canalizare, pentru perioada 2026–2030 UAT SARATA</t>
  </si>
  <si>
    <t>Situația evoluției datelor tehnice și operaționale privind serviciul de alimentare cu apă  și de canalizare, pentru perioada 2026–2030 UAT TG. TROTUS</t>
  </si>
  <si>
    <t>Situația evoluției datelor tehnice și operaționale privind serviciul de alimentare cu apă  și de canalizare, pentru perioada 2026–2030 UAT BOGDANESTI</t>
  </si>
  <si>
    <t>Situația evoluției datelor tehnice și operaționale privind serviciul de alimentare cu apă  și de canalizare, pentru perioada 2026–2030 UAT ARDEOANI</t>
  </si>
  <si>
    <t xml:space="preserve">                                        Situația evoluției datelor tehnice și operaționale privind serviciul de alimentare cu apă  și de canalizare, pentru perioada 2026–2030 UAT Cotofanesti</t>
  </si>
  <si>
    <t xml:space="preserve">  Situația evoluției datelor tehnice și operaționale privind serviciul de alimentare cu apă  și de canalizare, pentru perioada 2026–2030 UAT DOFTEANA</t>
  </si>
  <si>
    <t xml:space="preserve">                                        Situația evoluției datelor tehnice și operaționale privind serviciul de alimentare cu apă  și de canalizare, pentru perioada 2026–2030 UAT FARAOANI</t>
  </si>
  <si>
    <t xml:space="preserve">   Situația evoluției datelor tehnice și operaționale privind serviciul de alimentare cu apă  și de canalizare, pentru perioada 2026–2030 UAT FILIPESTI</t>
  </si>
  <si>
    <t xml:space="preserve">                                                 Situația evoluției datelor tehnice și operaționale privind serviciul de alimentare cu apă  și de canalizare, pentru perioada 2026–2030 UAT HEMEIUS</t>
  </si>
  <si>
    <t xml:space="preserve">                                                 Situația evoluției datelor tehnice și operaționale privind serviciul de alimentare cu apă  și de canalizare, pentru perioada 2026–2030 UAT MARGINENI</t>
  </si>
  <si>
    <t xml:space="preserve">                                               Situația evoluției datelor tehnice și operaționale privind serviciul de alimentare cu apă  și de canalizare, pentru perioada 2026–2030 UAT MAGIRESTI</t>
  </si>
  <si>
    <t xml:space="preserve"> Situația evoluției datelor tehnice și operaționale privind serviciul de alimentare cu apă  și de canalizare, pentru perioada 2026–2030 UAT LETEA VECHE</t>
  </si>
  <si>
    <t xml:space="preserve">  Situația evoluției datelor tehnice și operaționale privind serviciul de alimentare cu apă  și de canalizare, pentru perioada 2026–2030 UAT PODURI</t>
  </si>
  <si>
    <t xml:space="preserve">        Situația evoluției datelor tehnice și operaționale privind serviciul de alimentare cu apă  și de canalizare, pentru perioada 2026–2030 UAT PRAJESTI</t>
  </si>
  <si>
    <t>Situația evoluției datelor tehnice și operaționale privind serviciul de alimentare cu apă  și de canalizare, pentru perioada 2026–2030 UAT TAMASI</t>
  </si>
  <si>
    <t>Situația evoluției datelor tehnice și operaționale privind serviciul de alimentare cu apă  și de canalizare, pentru perioada 2026–2030 UAT TATARASTI</t>
  </si>
  <si>
    <t>Situația evoluției datelor tehnice și operaționale privind serviciul de alimentare cu apă  și de canalizare, pentru perioada 2026–2030 UAT TRAIAN</t>
  </si>
  <si>
    <t xml:space="preserve">Situația evoluției datelor tehnice și operaționale privind serviciul de alimentare cu apă  și de canalizare, pentru perioada 2026–2030 UAT STEFAN CEL MARE </t>
  </si>
  <si>
    <t>Situația evoluției datelor tehnice și operaționale privind serviciul de alimentare cu apă  și de canalizare, pentru perioada 2026–2030 UAT SAUCESTI</t>
  </si>
  <si>
    <t>Situația evoluției datelor tehnice și operaționale privind serviciul de alimentare cu apă  și de canalizare, pentru perioada 2026–2030 UAT PALANCA</t>
  </si>
  <si>
    <t>Situația evoluției datelor tehnice și operaționale privind serviciul de alimentare cu apă  și de canalizare, pentru perioada 2026–2030 UAT DARMANESTI</t>
  </si>
  <si>
    <t>Situația evoluției datelor tehnice și operaționale privind serviciul de alimentare cu apă  și de canalizare, pentru perioada 2026–2030 UAT TG. OCNA</t>
  </si>
  <si>
    <t>Situația evoluției datelor tehnice și operaționale privind serviciul de alimentare cu apă  și de canalizare, pentru perioada 2026–2030 UAT Casin</t>
  </si>
  <si>
    <t>Situația evoluției datelor tehnice și operaționale privind serviciul de alimentare cu apă  și de canalizare, pentru perioada 2026–2030 UAT Cleja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</si>
</sst>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l_e_i_-;\-* #,##0.00\ _l_e_i_-;_-* &quot;-&quot;??\ _l_e_i_-;_-@_-"/>
    <numFmt numFmtId="165" formatCode="0.000"/>
    <numFmt numFmtId="166" formatCode="_-* #,##0.00\ _€_-;\-* #,##0.00\ _€_-;_-* &quot;-&quot;??\ _€_-;_-@_-"/>
    <numFmt numFmtId="167" formatCode="_-* #,##0.00\ &quot;€&quot;_-;\-* #,##0.00\ &quot;€&quot;_-;_-* &quot;-&quot;??\ &quot;€&quot;_-;_-@_-"/>
  </numFmts>
  <fonts count="59" x14ac:knownFonts="1">
    <font>
      <sz val="11"/>
      <color theme="1"/>
      <name val="Calibri"/>
      <family val="2"/>
      <scheme val="minor"/>
    </font>
    <font>
      <sz val="11"/>
      <color indexed="8"/>
      <name val="Calibri"/>
      <family val="2"/>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font>
    <font>
      <sz val="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20"/>
      <name val="Calibri"/>
      <family val="2"/>
    </font>
    <font>
      <b/>
      <sz val="11"/>
      <color indexed="63"/>
      <name val="Calibri"/>
      <family val="2"/>
    </font>
    <font>
      <sz val="11"/>
      <color indexed="62"/>
      <name val="Calibri"/>
      <family val="2"/>
    </font>
    <font>
      <sz val="11"/>
      <color indexed="60"/>
      <name val="Calibri"/>
      <family val="2"/>
    </font>
    <font>
      <sz val="11"/>
      <color indexed="10"/>
      <name val="Calibri"/>
      <family val="2"/>
    </font>
    <font>
      <i/>
      <sz val="11"/>
      <color indexed="23"/>
      <name val="Calibri"/>
      <family val="2"/>
    </font>
    <font>
      <sz val="18"/>
      <color indexed="54"/>
      <name val="Calibri Light"/>
      <family val="2"/>
    </font>
    <font>
      <b/>
      <sz val="15"/>
      <color indexed="54"/>
      <name val="Calibri"/>
      <family val="2"/>
    </font>
    <font>
      <b/>
      <sz val="13"/>
      <color indexed="54"/>
      <name val="Calibri"/>
      <family val="2"/>
    </font>
    <font>
      <b/>
      <sz val="11"/>
      <color indexed="54"/>
      <name val="Calibri"/>
      <family val="2"/>
    </font>
    <font>
      <b/>
      <sz val="11"/>
      <color indexed="8"/>
      <name val="Calibri"/>
      <family val="2"/>
    </font>
    <font>
      <b/>
      <sz val="11"/>
      <color indexed="9"/>
      <name val="Calibri"/>
      <family val="2"/>
    </font>
    <font>
      <sz val="11"/>
      <color indexed="8"/>
      <name val="Calibri"/>
      <family val="2"/>
      <charset val="238"/>
    </font>
    <font>
      <b/>
      <sz val="18"/>
      <color indexed="62"/>
      <name val="Cambria"/>
      <family val="2"/>
      <charset val="238"/>
    </font>
    <font>
      <b/>
      <sz val="18"/>
      <color indexed="56"/>
      <name val="Cambria"/>
      <family val="2"/>
    </font>
    <font>
      <sz val="11"/>
      <color indexed="8"/>
      <name val="Calibri"/>
      <family val="2"/>
      <charset val="238"/>
    </font>
    <font>
      <sz val="9"/>
      <name val="Times New Roman"/>
      <family val="1"/>
    </font>
    <font>
      <b/>
      <sz val="9"/>
      <name val="Times New Roman"/>
      <family val="1"/>
    </font>
    <font>
      <sz val="8"/>
      <name val="Times New Roman"/>
      <family val="1"/>
    </font>
    <font>
      <b/>
      <sz val="8"/>
      <color indexed="8"/>
      <name val="Times New Roman"/>
      <family val="1"/>
    </font>
    <font>
      <sz val="8"/>
      <color indexed="8"/>
      <name val="Times New Roman"/>
      <family val="1"/>
    </font>
    <font>
      <b/>
      <sz val="8"/>
      <name val="Times New Roman"/>
      <family val="1"/>
    </font>
    <font>
      <sz val="8"/>
      <color indexed="10"/>
      <name val="Times New Roman"/>
      <family val="1"/>
    </font>
    <font>
      <sz val="11"/>
      <color theme="1"/>
      <name val="Calibri"/>
      <family val="2"/>
      <scheme val="minor"/>
    </font>
    <font>
      <sz val="11"/>
      <color theme="1"/>
      <name val="Calibri"/>
      <family val="2"/>
      <charset val="238"/>
      <scheme val="minor"/>
    </font>
    <font>
      <sz val="10"/>
      <color theme="1"/>
      <name val="Arial"/>
      <family val="2"/>
    </font>
    <font>
      <sz val="8"/>
      <color theme="1"/>
      <name val="Times New Roman"/>
      <family val="1"/>
      <charset val="238"/>
    </font>
    <font>
      <sz val="8"/>
      <color theme="1"/>
      <name val="Calibri"/>
      <family val="2"/>
      <scheme val="minor"/>
    </font>
    <font>
      <b/>
      <sz val="8"/>
      <color theme="1"/>
      <name val="Times New Roman"/>
      <family val="1"/>
      <charset val="238"/>
    </font>
    <font>
      <sz val="8"/>
      <color theme="1"/>
      <name val="Times New Roman"/>
      <family val="1"/>
    </font>
    <font>
      <sz val="8"/>
      <color theme="1"/>
      <name val="Calibri"/>
      <family val="2"/>
    </font>
    <font>
      <b/>
      <sz val="8"/>
      <color theme="1"/>
      <name val="Times New Roman"/>
      <family val="1"/>
    </font>
    <font>
      <sz val="8"/>
      <color theme="1"/>
      <name val="Arial"/>
      <family val="2"/>
      <charset val="238"/>
    </font>
  </fonts>
  <fills count="58">
    <fill>
      <patternFill patternType="none"/>
    </fill>
    <fill>
      <patternFill patternType="gray125"/>
    </fill>
    <fill>
      <patternFill patternType="solid">
        <fgColor indexed="27"/>
      </patternFill>
    </fill>
    <fill>
      <patternFill patternType="solid">
        <fgColor indexed="31"/>
        <bgColor indexed="22"/>
      </patternFill>
    </fill>
    <fill>
      <patternFill patternType="solid">
        <fgColor indexed="47"/>
      </patternFill>
    </fill>
    <fill>
      <patternFill patternType="solid">
        <fgColor indexed="45"/>
        <bgColor indexed="29"/>
      </patternFill>
    </fill>
    <fill>
      <patternFill patternType="solid">
        <fgColor indexed="9"/>
      </patternFill>
    </fill>
    <fill>
      <patternFill patternType="solid">
        <fgColor indexed="42"/>
        <bgColor indexed="27"/>
      </patternFill>
    </fill>
    <fill>
      <patternFill patternType="solid">
        <fgColor indexed="26"/>
      </patternFill>
    </fill>
    <fill>
      <patternFill patternType="solid">
        <fgColor indexed="46"/>
        <bgColor indexed="24"/>
      </patternFill>
    </fill>
    <fill>
      <patternFill patternType="solid">
        <fgColor indexed="31"/>
      </patternFill>
    </fill>
    <fill>
      <patternFill patternType="solid">
        <fgColor indexed="27"/>
        <bgColor indexed="41"/>
      </patternFill>
    </fill>
    <fill>
      <patternFill patternType="solid">
        <fgColor indexed="42"/>
      </patternFill>
    </fill>
    <fill>
      <patternFill patternType="solid">
        <fgColor indexed="47"/>
        <bgColor indexed="22"/>
      </patternFill>
    </fill>
    <fill>
      <patternFill patternType="solid">
        <fgColor indexed="45"/>
      </patternFill>
    </fill>
    <fill>
      <patternFill patternType="solid">
        <fgColor indexed="46"/>
      </patternFill>
    </fill>
    <fill>
      <patternFill patternType="solid">
        <fgColor indexed="44"/>
      </patternFill>
    </fill>
    <fill>
      <patternFill patternType="solid">
        <fgColor indexed="44"/>
        <bgColor indexed="31"/>
      </patternFill>
    </fill>
    <fill>
      <patternFill patternType="solid">
        <fgColor indexed="29"/>
        <bgColor indexed="45"/>
      </patternFill>
    </fill>
    <fill>
      <patternFill patternType="solid">
        <fgColor indexed="22"/>
      </patternFill>
    </fill>
    <fill>
      <patternFill patternType="solid">
        <fgColor indexed="11"/>
        <bgColor indexed="49"/>
      </patternFill>
    </fill>
    <fill>
      <patternFill patternType="solid">
        <fgColor indexed="43"/>
      </patternFill>
    </fill>
    <fill>
      <patternFill patternType="solid">
        <fgColor indexed="51"/>
        <bgColor indexed="13"/>
      </patternFill>
    </fill>
    <fill>
      <patternFill patternType="solid">
        <fgColor indexed="29"/>
      </patternFill>
    </fill>
    <fill>
      <patternFill patternType="solid">
        <fgColor indexed="11"/>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7"/>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bgColor indexed="56"/>
      </patternFill>
    </fill>
    <fill>
      <patternFill patternType="solid">
        <fgColor indexed="53"/>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bgColor indexed="60"/>
      </patternFill>
    </fill>
    <fill>
      <patternFill patternType="solid">
        <fgColor indexed="55"/>
      </patternFill>
    </fill>
    <fill>
      <patternFill patternType="solid">
        <fgColor indexed="42"/>
        <bgColor indexed="42"/>
      </patternFill>
    </fill>
    <fill>
      <patternFill patternType="solid">
        <fgColor indexed="57"/>
        <bgColor indexed="21"/>
      </patternFill>
    </fill>
    <fill>
      <patternFill patternType="solid">
        <fgColor indexed="62"/>
      </patternFill>
    </fill>
    <fill>
      <patternFill patternType="solid">
        <fgColor indexed="27"/>
        <bgColor indexed="27"/>
      </patternFill>
    </fill>
    <fill>
      <patternFill patternType="solid">
        <fgColor indexed="47"/>
        <bgColor indexed="47"/>
      </patternFill>
    </fill>
    <fill>
      <patternFill patternType="solid">
        <fgColor indexed="53"/>
        <bgColor indexed="52"/>
      </patternFill>
    </fill>
    <fill>
      <patternFill patternType="solid">
        <fgColor indexed="10"/>
      </patternFill>
    </fill>
    <fill>
      <patternFill patternType="solid">
        <fgColor indexed="22"/>
        <bgColor indexed="31"/>
      </patternFill>
    </fill>
    <fill>
      <patternFill patternType="solid">
        <fgColor indexed="55"/>
        <bgColor indexed="23"/>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26"/>
      </patternFill>
    </fill>
    <fill>
      <patternFill patternType="solid">
        <fgColor indexed="26"/>
        <bgColor indexed="9"/>
      </patternFill>
    </fill>
  </fills>
  <borders count="5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44"/>
      </bottom>
      <diagonal/>
    </border>
    <border>
      <left/>
      <right/>
      <top/>
      <bottom style="medium">
        <color indexed="30"/>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8"/>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8"/>
      </left>
      <right/>
      <top/>
      <bottom style="medium">
        <color indexed="8"/>
      </bottom>
      <diagonal/>
    </border>
    <border>
      <left style="medium">
        <color indexed="8"/>
      </left>
      <right/>
      <top style="medium">
        <color indexed="8"/>
      </top>
      <bottom/>
      <diagonal/>
    </border>
    <border>
      <left style="medium">
        <color indexed="8"/>
      </left>
      <right/>
      <top style="medium">
        <color indexed="8"/>
      </top>
      <bottom style="medium">
        <color indexed="8"/>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8"/>
      </bottom>
      <diagonal/>
    </border>
    <border>
      <left style="medium">
        <color indexed="64"/>
      </left>
      <right style="medium">
        <color indexed="64"/>
      </right>
      <top style="medium">
        <color indexed="8"/>
      </top>
      <bottom style="medium">
        <color indexed="64"/>
      </bottom>
      <diagonal/>
    </border>
    <border>
      <left style="thin">
        <color indexed="64"/>
      </left>
      <right/>
      <top/>
      <bottom/>
      <diagonal/>
    </border>
    <border>
      <left/>
      <right style="thin">
        <color indexed="64"/>
      </right>
      <top/>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8"/>
      </left>
      <right/>
      <top style="medium">
        <color indexed="64"/>
      </top>
      <bottom/>
      <diagonal/>
    </border>
    <border>
      <left style="medium">
        <color indexed="8"/>
      </left>
      <right/>
      <top/>
      <bottom style="medium">
        <color indexed="64"/>
      </bottom>
      <diagonal/>
    </border>
    <border>
      <left style="medium">
        <color indexed="8"/>
      </left>
      <right style="medium">
        <color indexed="64"/>
      </right>
      <top style="medium">
        <color indexed="64"/>
      </top>
      <bottom/>
      <diagonal/>
    </border>
    <border>
      <left style="medium">
        <color indexed="8"/>
      </left>
      <right style="medium">
        <color indexed="64"/>
      </right>
      <top/>
      <bottom style="medium">
        <color indexed="64"/>
      </bottom>
      <diagonal/>
    </border>
    <border>
      <left style="medium">
        <color indexed="64"/>
      </left>
      <right style="medium">
        <color indexed="8"/>
      </right>
      <top style="medium">
        <color indexed="64"/>
      </top>
      <bottom style="medium">
        <color indexed="64"/>
      </bottom>
      <diagonal/>
    </border>
    <border>
      <left/>
      <right/>
      <top/>
      <bottom style="medium">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238">
    <xf numFmtId="0" fontId="0" fillId="0" borderId="0"/>
    <xf numFmtId="0" fontId="3" fillId="3" borderId="0" applyNumberFormat="0" applyBorder="0" applyAlignment="0" applyProtection="0"/>
    <xf numFmtId="0" fontId="1" fillId="2" borderId="0" applyNumberFormat="0" applyBorder="0" applyAlignment="0" applyProtection="0"/>
    <xf numFmtId="0" fontId="3" fillId="5" borderId="0" applyNumberFormat="0" applyBorder="0" applyAlignment="0" applyProtection="0"/>
    <xf numFmtId="0" fontId="1" fillId="4" borderId="0" applyNumberFormat="0" applyBorder="0" applyAlignment="0" applyProtection="0"/>
    <xf numFmtId="0" fontId="3" fillId="7" borderId="0" applyNumberFormat="0" applyBorder="0" applyAlignment="0" applyProtection="0"/>
    <xf numFmtId="0" fontId="1" fillId="6" borderId="0" applyNumberFormat="0" applyBorder="0" applyAlignment="0" applyProtection="0"/>
    <xf numFmtId="0" fontId="3" fillId="9" borderId="0" applyNumberFormat="0" applyBorder="0" applyAlignment="0" applyProtection="0"/>
    <xf numFmtId="0" fontId="1" fillId="8" borderId="0" applyNumberFormat="0" applyBorder="0" applyAlignment="0" applyProtection="0"/>
    <xf numFmtId="0" fontId="3" fillId="11" borderId="0" applyNumberFormat="0" applyBorder="0" applyAlignment="0" applyProtection="0"/>
    <xf numFmtId="0" fontId="1" fillId="10" borderId="0" applyNumberFormat="0" applyBorder="0" applyAlignment="0" applyProtection="0"/>
    <xf numFmtId="0" fontId="3" fillId="13" borderId="0" applyNumberFormat="0" applyBorder="0" applyAlignment="0" applyProtection="0"/>
    <xf numFmtId="0" fontId="1" fillId="1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17" borderId="0" applyNumberFormat="0" applyBorder="0" applyAlignment="0" applyProtection="0"/>
    <xf numFmtId="0" fontId="1" fillId="16" borderId="0" applyNumberFormat="0" applyBorder="0" applyAlignment="0" applyProtection="0"/>
    <xf numFmtId="0" fontId="3" fillId="18" borderId="0" applyNumberFormat="0" applyBorder="0" applyAlignment="0" applyProtection="0"/>
    <xf numFmtId="0" fontId="1" fillId="4" borderId="0" applyNumberFormat="0" applyBorder="0" applyAlignment="0" applyProtection="0"/>
    <xf numFmtId="0" fontId="3" fillId="20" borderId="0" applyNumberFormat="0" applyBorder="0" applyAlignment="0" applyProtection="0"/>
    <xf numFmtId="0" fontId="1" fillId="19" borderId="0" applyNumberFormat="0" applyBorder="0" applyAlignment="0" applyProtection="0"/>
    <xf numFmtId="0" fontId="3" fillId="9" borderId="0" applyNumberFormat="0" applyBorder="0" applyAlignment="0" applyProtection="0"/>
    <xf numFmtId="0" fontId="1" fillId="21" borderId="0" applyNumberFormat="0" applyBorder="0" applyAlignment="0" applyProtection="0"/>
    <xf numFmtId="0" fontId="3" fillId="17" borderId="0" applyNumberFormat="0" applyBorder="0" applyAlignment="0" applyProtection="0"/>
    <xf numFmtId="0" fontId="1" fillId="16" borderId="0" applyNumberFormat="0" applyBorder="0" applyAlignment="0" applyProtection="0"/>
    <xf numFmtId="0" fontId="3" fillId="22" borderId="0" applyNumberFormat="0" applyBorder="0" applyAlignment="0" applyProtection="0"/>
    <xf numFmtId="0" fontId="1" fillId="21"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22" fillId="16" borderId="0" applyNumberFormat="0" applyBorder="0" applyAlignment="0" applyProtection="0"/>
    <xf numFmtId="0" fontId="4" fillId="18" borderId="0" applyNumberFormat="0" applyBorder="0" applyAlignment="0" applyProtection="0"/>
    <xf numFmtId="0" fontId="22" fillId="4" borderId="0" applyNumberFormat="0" applyBorder="0" applyAlignment="0" applyProtection="0"/>
    <xf numFmtId="0" fontId="4" fillId="20" borderId="0" applyNumberFormat="0" applyBorder="0" applyAlignment="0" applyProtection="0"/>
    <xf numFmtId="0" fontId="22" fillId="19" borderId="0" applyNumberFormat="0" applyBorder="0" applyAlignment="0" applyProtection="0"/>
    <xf numFmtId="0" fontId="4" fillId="27" borderId="0" applyNumberFormat="0" applyBorder="0" applyAlignment="0" applyProtection="0"/>
    <xf numFmtId="0" fontId="22" fillId="21" borderId="0" applyNumberFormat="0" applyBorder="0" applyAlignment="0" applyProtection="0"/>
    <xf numFmtId="0" fontId="4" fillId="29" borderId="0" applyNumberFormat="0" applyBorder="0" applyAlignment="0" applyProtection="0"/>
    <xf numFmtId="0" fontId="22" fillId="28" borderId="0" applyNumberFormat="0" applyBorder="0" applyAlignment="0" applyProtection="0"/>
    <xf numFmtId="0" fontId="4" fillId="31" borderId="0" applyNumberFormat="0" applyBorder="0" applyAlignment="0" applyProtection="0"/>
    <xf numFmtId="0" fontId="22" fillId="30" borderId="0" applyNumberFormat="0" applyBorder="0" applyAlignment="0" applyProtection="0"/>
    <xf numFmtId="0" fontId="4" fillId="3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33" borderId="0" applyNumberFormat="0" applyBorder="0" applyAlignment="0" applyProtection="0"/>
    <xf numFmtId="0" fontId="4" fillId="28" borderId="0" applyNumberFormat="0" applyBorder="0" applyAlignment="0" applyProtection="0"/>
    <xf numFmtId="0" fontId="4"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4" fillId="40" borderId="0" applyNumberFormat="0" applyBorder="0" applyAlignment="0" applyProtection="0"/>
    <xf numFmtId="0" fontId="4" fillId="45"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4" fillId="40" borderId="0" applyNumberFormat="0" applyBorder="0" applyAlignment="0" applyProtection="0"/>
    <xf numFmtId="0" fontId="4" fillId="27"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4" fillId="36" borderId="0" applyNumberFormat="0" applyBorder="0" applyAlignment="0" applyProtection="0"/>
    <xf numFmtId="0" fontId="4" fillId="29"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28" borderId="0" applyNumberFormat="0" applyBorder="0" applyAlignment="0" applyProtection="0"/>
    <xf numFmtId="0" fontId="4" fillId="38" borderId="0" applyNumberFormat="0" applyBorder="0" applyAlignment="0" applyProtection="0"/>
    <xf numFmtId="0" fontId="16" fillId="19" borderId="1" applyNumberFormat="0" applyAlignment="0" applyProtection="0"/>
    <xf numFmtId="0" fontId="16" fillId="19" borderId="1" applyNumberFormat="0" applyAlignment="0" applyProtection="0"/>
    <xf numFmtId="0" fontId="5" fillId="5" borderId="0" applyNumberFormat="0" applyBorder="0" applyAlignment="0" applyProtection="0"/>
    <xf numFmtId="0" fontId="26" fillId="14" borderId="0" applyNumberFormat="0" applyBorder="0" applyAlignment="0" applyProtection="0"/>
    <xf numFmtId="0" fontId="6" fillId="19" borderId="2" applyNumberFormat="0" applyAlignment="0" applyProtection="0"/>
    <xf numFmtId="0" fontId="6" fillId="19" borderId="2" applyNumberFormat="0" applyAlignment="0" applyProtection="0"/>
    <xf numFmtId="0" fontId="6" fillId="51" borderId="2" applyNumberFormat="0" applyAlignment="0" applyProtection="0"/>
    <xf numFmtId="0" fontId="24" fillId="19" borderId="2" applyNumberFormat="0" applyAlignment="0" applyProtection="0"/>
    <xf numFmtId="0" fontId="24" fillId="19" borderId="2" applyNumberFormat="0" applyAlignment="0" applyProtection="0"/>
    <xf numFmtId="0" fontId="7" fillId="52" borderId="4" applyNumberFormat="0" applyAlignment="0" applyProtection="0"/>
    <xf numFmtId="0" fontId="37" fillId="43" borderId="4" applyNumberFormat="0" applyAlignment="0" applyProtection="0"/>
    <xf numFmtId="43" fontId="20"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164" fontId="41" fillId="0" borderId="0" applyFont="0" applyFill="0" applyBorder="0" applyAlignment="0" applyProtection="0"/>
    <xf numFmtId="166" fontId="2" fillId="0" borderId="0" applyFont="0" applyFill="0" applyBorder="0" applyAlignment="0" applyProtection="0"/>
    <xf numFmtId="0" fontId="13" fillId="4" borderId="2" applyNumberFormat="0" applyAlignment="0" applyProtection="0"/>
    <xf numFmtId="0" fontId="13" fillId="4" borderId="2" applyNumberFormat="0" applyAlignment="0" applyProtection="0"/>
    <xf numFmtId="0" fontId="18" fillId="53" borderId="0" applyNumberFormat="0" applyBorder="0" applyAlignment="0" applyProtection="0"/>
    <xf numFmtId="0" fontId="18" fillId="54" borderId="0" applyNumberFormat="0" applyBorder="0" applyAlignment="0" applyProtection="0"/>
    <xf numFmtId="0" fontId="18" fillId="55" borderId="0" applyNumberFormat="0" applyBorder="0" applyAlignment="0" applyProtection="0"/>
    <xf numFmtId="0" fontId="18" fillId="0" borderId="5" applyNumberFormat="0" applyFill="0" applyAlignment="0" applyProtection="0"/>
    <xf numFmtId="0" fontId="18" fillId="0" borderId="5" applyNumberFormat="0" applyFill="0" applyAlignment="0" applyProtection="0"/>
    <xf numFmtId="0" fontId="8" fillId="0" borderId="0" applyNumberFormat="0" applyFill="0" applyBorder="0" applyAlignment="0" applyProtection="0"/>
    <xf numFmtId="167" fontId="20" fillId="0" borderId="0" applyFon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9" fillId="7" borderId="0" applyNumberFormat="0" applyBorder="0" applyAlignment="0" applyProtection="0"/>
    <xf numFmtId="0" fontId="23" fillId="12" borderId="0" applyNumberFormat="0" applyBorder="0" applyAlignment="0" applyProtection="0"/>
    <xf numFmtId="0" fontId="9" fillId="12" borderId="0" applyNumberFormat="0" applyBorder="0" applyAlignment="0" applyProtection="0"/>
    <xf numFmtId="0" fontId="10" fillId="0" borderId="6" applyNumberFormat="0" applyFill="0" applyAlignment="0" applyProtection="0"/>
    <xf numFmtId="0" fontId="33" fillId="0" borderId="7" applyNumberFormat="0" applyFill="0" applyAlignment="0" applyProtection="0"/>
    <xf numFmtId="0" fontId="11" fillId="0" borderId="8" applyNumberFormat="0" applyFill="0" applyAlignment="0" applyProtection="0"/>
    <xf numFmtId="0" fontId="34" fillId="0" borderId="9" applyNumberFormat="0" applyFill="0" applyAlignment="0" applyProtection="0"/>
    <xf numFmtId="0" fontId="12" fillId="0" borderId="10" applyNumberFormat="0" applyFill="0" applyAlignment="0" applyProtection="0"/>
    <xf numFmtId="0" fontId="35" fillId="0" borderId="11" applyNumberFormat="0" applyFill="0" applyAlignment="0" applyProtection="0"/>
    <xf numFmtId="0" fontId="12" fillId="0" borderId="0" applyNumberFormat="0" applyFill="0" applyBorder="0" applyAlignment="0" applyProtection="0"/>
    <xf numFmtId="0" fontId="35" fillId="0" borderId="0" applyNumberFormat="0" applyFill="0" applyBorder="0" applyAlignment="0" applyProtection="0"/>
    <xf numFmtId="0" fontId="13" fillId="13" borderId="2" applyNumberFormat="0" applyAlignment="0" applyProtection="0"/>
    <xf numFmtId="0" fontId="28" fillId="4" borderId="2" applyNumberFormat="0" applyAlignment="0" applyProtection="0"/>
    <xf numFmtId="0" fontId="28" fillId="4" borderId="2" applyNumberFormat="0" applyAlignment="0" applyProtection="0"/>
    <xf numFmtId="0" fontId="14" fillId="0" borderId="3" applyNumberFormat="0" applyFill="0" applyAlignment="0" applyProtection="0"/>
    <xf numFmtId="0" fontId="25" fillId="0" borderId="3" applyNumberFormat="0" applyFill="0" applyAlignment="0" applyProtection="0"/>
    <xf numFmtId="0" fontId="15" fillId="56" borderId="0" applyNumberFormat="0" applyBorder="0" applyAlignment="0" applyProtection="0"/>
    <xf numFmtId="0" fontId="29" fillId="21" borderId="0" applyNumberFormat="0" applyBorder="0" applyAlignment="0" applyProtection="0"/>
    <xf numFmtId="0" fontId="20" fillId="0" borderId="0"/>
    <xf numFmtId="0" fontId="20" fillId="0" borderId="0">
      <alignment vertical="center"/>
    </xf>
    <xf numFmtId="0" fontId="20" fillId="0" borderId="0"/>
    <xf numFmtId="0" fontId="50" fillId="0" borderId="0"/>
    <xf numFmtId="0" fontId="2" fillId="0" borderId="0"/>
    <xf numFmtId="0" fontId="20" fillId="0" borderId="0"/>
    <xf numFmtId="0" fontId="20" fillId="0" borderId="0" applyNumberFormat="0" applyBorder="0" applyAlignment="0" applyProtection="0">
      <alignment vertical="center"/>
    </xf>
    <xf numFmtId="0" fontId="2" fillId="0" borderId="0"/>
    <xf numFmtId="0" fontId="1" fillId="0" borderId="0"/>
    <xf numFmtId="0" fontId="20" fillId="0" borderId="0" applyNumberFormat="0" applyBorder="0" applyAlignment="0" applyProtection="0">
      <alignment vertical="center"/>
    </xf>
    <xf numFmtId="0" fontId="49" fillId="0" borderId="0"/>
    <xf numFmtId="0" fontId="2" fillId="0" borderId="0"/>
    <xf numFmtId="0" fontId="20" fillId="0" borderId="0"/>
    <xf numFmtId="0" fontId="20" fillId="0" borderId="0" applyNumberFormat="0" applyBorder="0" applyAlignment="0" applyProtection="0">
      <alignment vertical="center"/>
    </xf>
    <xf numFmtId="0" fontId="50" fillId="0" borderId="0"/>
    <xf numFmtId="0" fontId="49" fillId="0" borderId="0"/>
    <xf numFmtId="0" fontId="2" fillId="0" borderId="0"/>
    <xf numFmtId="0" fontId="20" fillId="0" borderId="0"/>
    <xf numFmtId="0" fontId="51" fillId="0" borderId="0"/>
    <xf numFmtId="0" fontId="2" fillId="0" borderId="0"/>
    <xf numFmtId="0" fontId="49" fillId="0" borderId="0"/>
    <xf numFmtId="0" fontId="49" fillId="0" borderId="0"/>
    <xf numFmtId="0" fontId="49" fillId="0" borderId="0"/>
    <xf numFmtId="0" fontId="49" fillId="0" borderId="0"/>
    <xf numFmtId="0" fontId="49" fillId="0" borderId="0"/>
    <xf numFmtId="0" fontId="50" fillId="0" borderId="0"/>
    <xf numFmtId="0" fontId="49" fillId="0" borderId="0"/>
    <xf numFmtId="0" fontId="49" fillId="0" borderId="0"/>
    <xf numFmtId="0" fontId="49" fillId="0" borderId="0"/>
    <xf numFmtId="0" fontId="49" fillId="0" borderId="0"/>
    <xf numFmtId="0" fontId="49" fillId="0" borderId="0"/>
    <xf numFmtId="0" fontId="51" fillId="0" borderId="0"/>
    <xf numFmtId="0" fontId="50" fillId="0" borderId="0"/>
    <xf numFmtId="0" fontId="49" fillId="0" borderId="0"/>
    <xf numFmtId="0" fontId="49" fillId="0" borderId="0"/>
    <xf numFmtId="0" fontId="49" fillId="0" borderId="0"/>
    <xf numFmtId="0" fontId="49" fillId="0" borderId="0"/>
    <xf numFmtId="0" fontId="49" fillId="0" borderId="0"/>
    <xf numFmtId="0" fontId="2" fillId="57" borderId="12" applyNumberFormat="0" applyAlignment="0" applyProtection="0"/>
    <xf numFmtId="0" fontId="1" fillId="8" borderId="12" applyNumberFormat="0" applyFont="0" applyAlignment="0" applyProtection="0"/>
    <xf numFmtId="0" fontId="1" fillId="8" borderId="12" applyNumberFormat="0" applyFont="0" applyAlignment="0" applyProtection="0"/>
    <xf numFmtId="0" fontId="20" fillId="8" borderId="12" applyNumberFormat="0" applyFont="0" applyAlignment="0" applyProtection="0"/>
    <xf numFmtId="0" fontId="20" fillId="8" borderId="12" applyNumberFormat="0" applyFont="0" applyAlignment="0" applyProtection="0"/>
    <xf numFmtId="0" fontId="16" fillId="51" borderId="1" applyNumberFormat="0" applyAlignment="0" applyProtection="0"/>
    <xf numFmtId="0" fontId="27" fillId="19" borderId="1" applyNumberFormat="0" applyAlignment="0" applyProtection="0"/>
    <xf numFmtId="0" fontId="27" fillId="19" borderId="1" applyNumberFormat="0" applyAlignment="0" applyProtection="0"/>
    <xf numFmtId="9" fontId="20"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38" fillId="0" borderId="0" applyFont="0" applyFill="0" applyBorder="0" applyAlignment="0" applyProtection="0"/>
    <xf numFmtId="0" fontId="5" fillId="14" borderId="0" applyNumberFormat="0" applyBorder="0" applyAlignment="0" applyProtection="0"/>
    <xf numFmtId="0" fontId="39" fillId="0" borderId="0" applyNumberFormat="0" applyFill="0" applyBorder="0" applyAlignment="0" applyProtection="0"/>
    <xf numFmtId="0" fontId="20" fillId="0" borderId="0"/>
    <xf numFmtId="0" fontId="17" fillId="0" borderId="0" applyNumberFormat="0" applyFill="0" applyBorder="0" applyAlignment="0" applyProtection="0"/>
    <xf numFmtId="0" fontId="32" fillId="0" borderId="0" applyNumberFormat="0" applyFill="0" applyBorder="0" applyAlignment="0" applyProtection="0"/>
    <xf numFmtId="0" fontId="18" fillId="0" borderId="5"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17" fillId="0" borderId="0" applyNumberFormat="0" applyFill="0" applyBorder="0" applyAlignment="0" applyProtection="0"/>
    <xf numFmtId="0" fontId="10" fillId="0" borderId="6" applyNumberFormat="0" applyFill="0" applyAlignment="0" applyProtection="0"/>
    <xf numFmtId="0" fontId="11" fillId="0" borderId="8"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40" fillId="0" borderId="0" applyNumberFormat="0" applyFill="0" applyBorder="0" applyAlignment="0" applyProtection="0"/>
    <xf numFmtId="0" fontId="14" fillId="0" borderId="3" applyNumberFormat="0" applyFill="0" applyAlignment="0" applyProtection="0"/>
    <xf numFmtId="164" fontId="38"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0" fillId="0" borderId="0" applyNumberFormat="0" applyFill="0" applyBorder="0" applyAlignment="0" applyProtection="0"/>
    <xf numFmtId="0" fontId="7" fillId="43" borderId="4" applyNumberFormat="0" applyAlignment="0" applyProtection="0"/>
  </cellStyleXfs>
  <cellXfs count="554">
    <xf numFmtId="0" fontId="0" fillId="0" borderId="0" xfId="0"/>
    <xf numFmtId="0" fontId="52" fillId="0" borderId="0" xfId="185" applyFont="1" applyAlignment="1">
      <alignment wrapText="1"/>
    </xf>
    <xf numFmtId="0" fontId="44" fillId="0" borderId="0" xfId="0" applyFont="1"/>
    <xf numFmtId="0" fontId="53" fillId="0" borderId="0" xfId="0" applyFont="1"/>
    <xf numFmtId="10" fontId="44" fillId="0" borderId="0" xfId="0" applyNumberFormat="1" applyFont="1"/>
    <xf numFmtId="4" fontId="44" fillId="0" borderId="0" xfId="0" applyNumberFormat="1" applyFont="1"/>
    <xf numFmtId="0" fontId="56" fillId="0" borderId="0" xfId="0" applyFont="1" applyAlignment="1">
      <alignment wrapText="1"/>
    </xf>
    <xf numFmtId="0" fontId="53" fillId="0" borderId="0" xfId="0" applyFont="1" applyAlignment="1">
      <alignment wrapText="1"/>
    </xf>
    <xf numFmtId="1" fontId="43" fillId="0" borderId="49" xfId="0" applyNumberFormat="1" applyFont="1" applyBorder="1" applyAlignment="1">
      <alignment horizontal="center" vertical="center" wrapText="1"/>
    </xf>
    <xf numFmtId="0" fontId="55" fillId="0" borderId="0" xfId="185" applyFont="1"/>
    <xf numFmtId="0" fontId="55" fillId="0" borderId="0" xfId="185" applyFont="1" applyAlignment="1">
      <alignment wrapText="1"/>
    </xf>
    <xf numFmtId="0" fontId="55" fillId="0" borderId="0" xfId="0" applyFont="1"/>
    <xf numFmtId="0" fontId="57" fillId="0" borderId="0" xfId="177" applyFont="1" applyAlignment="1">
      <alignment horizontal="left" vertical="center"/>
    </xf>
    <xf numFmtId="0" fontId="55" fillId="0" borderId="0" xfId="177" applyFont="1" applyAlignment="1">
      <alignment wrapText="1"/>
    </xf>
    <xf numFmtId="0" fontId="55" fillId="0" borderId="0" xfId="177" applyFont="1"/>
    <xf numFmtId="10" fontId="55" fillId="0" borderId="0" xfId="0" applyNumberFormat="1" applyFont="1"/>
    <xf numFmtId="4" fontId="55" fillId="0" borderId="0" xfId="0" applyNumberFormat="1" applyFont="1"/>
    <xf numFmtId="0" fontId="57" fillId="0" borderId="24" xfId="185" applyFont="1" applyBorder="1"/>
    <xf numFmtId="0" fontId="57" fillId="0" borderId="24" xfId="185" applyFont="1" applyBorder="1" applyAlignment="1">
      <alignment horizontal="center" wrapText="1"/>
    </xf>
    <xf numFmtId="0" fontId="55" fillId="0" borderId="24" xfId="0" applyFont="1" applyBorder="1" applyAlignment="1">
      <alignment horizontal="center"/>
    </xf>
    <xf numFmtId="0" fontId="55" fillId="0" borderId="24" xfId="0" applyFont="1" applyBorder="1" applyAlignment="1">
      <alignment horizontal="center" wrapText="1"/>
    </xf>
    <xf numFmtId="0" fontId="57" fillId="0" borderId="24" xfId="0" applyFont="1" applyBorder="1"/>
    <xf numFmtId="0" fontId="57" fillId="0" borderId="24" xfId="185" applyFont="1" applyBorder="1" applyAlignment="1">
      <alignment horizontal="center"/>
    </xf>
    <xf numFmtId="0" fontId="55" fillId="0" borderId="24" xfId="185" applyFont="1" applyBorder="1" applyAlignment="1">
      <alignment horizontal="center"/>
    </xf>
    <xf numFmtId="0" fontId="55" fillId="0" borderId="24" xfId="185" applyFont="1" applyBorder="1" applyAlignment="1">
      <alignment horizontal="center" vertical="center"/>
    </xf>
    <xf numFmtId="0" fontId="55" fillId="0" borderId="24" xfId="185" applyFont="1" applyBorder="1" applyAlignment="1">
      <alignment horizontal="center" vertical="center" wrapText="1"/>
    </xf>
    <xf numFmtId="2" fontId="55" fillId="0" borderId="24" xfId="0" applyNumberFormat="1" applyFont="1" applyBorder="1" applyAlignment="1">
      <alignment horizontal="center"/>
    </xf>
    <xf numFmtId="10" fontId="55" fillId="0" borderId="24" xfId="0" applyNumberFormat="1" applyFont="1" applyBorder="1" applyAlignment="1">
      <alignment horizontal="center"/>
    </xf>
    <xf numFmtId="9" fontId="55" fillId="0" borderId="24" xfId="185" applyNumberFormat="1" applyFont="1" applyBorder="1" applyAlignment="1">
      <alignment horizontal="center"/>
    </xf>
    <xf numFmtId="9" fontId="55" fillId="0" borderId="24" xfId="0" applyNumberFormat="1" applyFont="1" applyBorder="1" applyAlignment="1">
      <alignment horizontal="center"/>
    </xf>
    <xf numFmtId="0" fontId="57" fillId="0" borderId="24" xfId="185" applyFont="1" applyBorder="1" applyAlignment="1">
      <alignment horizontal="right"/>
    </xf>
    <xf numFmtId="0" fontId="55" fillId="0" borderId="0" xfId="0" applyFont="1" applyAlignment="1">
      <alignment wrapText="1"/>
    </xf>
    <xf numFmtId="15" fontId="55" fillId="0" borderId="0" xfId="0" applyNumberFormat="1" applyFont="1"/>
    <xf numFmtId="0" fontId="55" fillId="0" borderId="24" xfId="185" applyFont="1" applyBorder="1" applyAlignment="1">
      <alignment horizontal="left" vertical="center" wrapText="1"/>
    </xf>
    <xf numFmtId="0" fontId="55" fillId="0" borderId="24" xfId="0" applyFont="1" applyBorder="1" applyAlignment="1">
      <alignment wrapText="1"/>
    </xf>
    <xf numFmtId="3" fontId="55" fillId="0" borderId="24" xfId="0" applyNumberFormat="1" applyFont="1" applyBorder="1" applyAlignment="1">
      <alignment horizontal="center"/>
    </xf>
    <xf numFmtId="3" fontId="55" fillId="0" borderId="24" xfId="185" applyNumberFormat="1" applyFont="1" applyBorder="1" applyAlignment="1">
      <alignment horizontal="center" vertical="center"/>
    </xf>
    <xf numFmtId="2" fontId="55" fillId="0" borderId="0" xfId="0" applyNumberFormat="1" applyFont="1"/>
    <xf numFmtId="1" fontId="55" fillId="0" borderId="0" xfId="0" applyNumberFormat="1" applyFont="1"/>
    <xf numFmtId="3" fontId="55" fillId="0" borderId="0" xfId="0" applyNumberFormat="1" applyFont="1"/>
    <xf numFmtId="0" fontId="55" fillId="0" borderId="24" xfId="0" applyFont="1" applyBorder="1"/>
    <xf numFmtId="1" fontId="55" fillId="0" borderId="24" xfId="0" applyNumberFormat="1" applyFont="1" applyBorder="1" applyAlignment="1">
      <alignment horizontal="center"/>
    </xf>
    <xf numFmtId="0" fontId="55" fillId="0" borderId="24" xfId="185" applyFont="1" applyBorder="1" applyAlignment="1">
      <alignment wrapText="1"/>
    </xf>
    <xf numFmtId="0" fontId="57" fillId="0" borderId="24" xfId="185" applyFont="1" applyBorder="1" applyAlignment="1">
      <alignment vertical="center"/>
    </xf>
    <xf numFmtId="2" fontId="55" fillId="0" borderId="24" xfId="185" applyNumberFormat="1" applyFont="1" applyBorder="1" applyAlignment="1">
      <alignment horizontal="center"/>
    </xf>
    <xf numFmtId="4" fontId="55" fillId="0" borderId="24" xfId="0" applyNumberFormat="1" applyFont="1" applyBorder="1" applyAlignment="1">
      <alignment horizontal="center"/>
    </xf>
    <xf numFmtId="0" fontId="55" fillId="0" borderId="24" xfId="0" applyFont="1" applyBorder="1" applyAlignment="1">
      <alignment horizontal="center" vertical="center"/>
    </xf>
    <xf numFmtId="1" fontId="55" fillId="0" borderId="24" xfId="185" applyNumberFormat="1" applyFont="1" applyBorder="1" applyAlignment="1">
      <alignment horizontal="center"/>
    </xf>
    <xf numFmtId="2" fontId="55" fillId="0" borderId="24" xfId="185" applyNumberFormat="1" applyFont="1" applyBorder="1"/>
    <xf numFmtId="0" fontId="55" fillId="0" borderId="24" xfId="185" applyFont="1" applyBorder="1"/>
    <xf numFmtId="2" fontId="55" fillId="0" borderId="24" xfId="0" applyNumberFormat="1" applyFont="1" applyBorder="1"/>
    <xf numFmtId="1" fontId="55" fillId="0" borderId="24" xfId="185" applyNumberFormat="1" applyFont="1" applyBorder="1" applyAlignment="1">
      <alignment horizontal="center" vertical="center"/>
    </xf>
    <xf numFmtId="0" fontId="57" fillId="0" borderId="24" xfId="185" applyFont="1" applyBorder="1" applyAlignment="1">
      <alignment horizontal="left" vertical="center" wrapText="1"/>
    </xf>
    <xf numFmtId="3" fontId="55" fillId="0" borderId="24" xfId="0" applyNumberFormat="1" applyFont="1" applyBorder="1"/>
    <xf numFmtId="3" fontId="55" fillId="0" borderId="24" xfId="185" applyNumberFormat="1" applyFont="1" applyBorder="1" applyAlignment="1">
      <alignment vertical="center"/>
    </xf>
    <xf numFmtId="3" fontId="55" fillId="0" borderId="24" xfId="0" applyNumberFormat="1" applyFont="1" applyBorder="1" applyAlignment="1">
      <alignment vertical="center"/>
    </xf>
    <xf numFmtId="3" fontId="55" fillId="0" borderId="24" xfId="185" applyNumberFormat="1" applyFont="1" applyBorder="1"/>
    <xf numFmtId="0" fontId="55" fillId="0" borderId="24" xfId="185" applyFont="1" applyBorder="1" applyAlignment="1">
      <alignment horizontal="center" wrapText="1"/>
    </xf>
    <xf numFmtId="2" fontId="55" fillId="0" borderId="24" xfId="185" applyNumberFormat="1" applyFont="1" applyBorder="1" applyAlignment="1">
      <alignment horizontal="center" vertical="center" wrapText="1"/>
    </xf>
    <xf numFmtId="2" fontId="55" fillId="0" borderId="24" xfId="185" applyNumberFormat="1" applyFont="1" applyBorder="1" applyAlignment="1">
      <alignment horizontal="center" wrapText="1"/>
    </xf>
    <xf numFmtId="2" fontId="55" fillId="0" borderId="24" xfId="185" applyNumberFormat="1" applyFont="1" applyBorder="1" applyAlignment="1">
      <alignment horizontal="center" vertical="center"/>
    </xf>
    <xf numFmtId="2" fontId="55" fillId="0" borderId="24" xfId="0" applyNumberFormat="1" applyFont="1" applyBorder="1" applyAlignment="1">
      <alignment horizontal="center" vertical="center"/>
    </xf>
    <xf numFmtId="0" fontId="52" fillId="0" borderId="0" xfId="185" applyFont="1"/>
    <xf numFmtId="0" fontId="54" fillId="0" borderId="0" xfId="177" applyFont="1" applyAlignment="1">
      <alignment horizontal="left" vertical="center"/>
    </xf>
    <xf numFmtId="0" fontId="52" fillId="0" borderId="0" xfId="177" applyFont="1"/>
    <xf numFmtId="0" fontId="54" fillId="0" borderId="24" xfId="185" applyFont="1" applyBorder="1"/>
    <xf numFmtId="0" fontId="54" fillId="0" borderId="24" xfId="185" applyFont="1" applyBorder="1" applyAlignment="1">
      <alignment horizontal="center" wrapText="1"/>
    </xf>
    <xf numFmtId="0" fontId="53" fillId="0" borderId="24" xfId="0" applyFont="1" applyBorder="1" applyAlignment="1">
      <alignment horizontal="center" wrapText="1"/>
    </xf>
    <xf numFmtId="0" fontId="56" fillId="0" borderId="24" xfId="0" applyFont="1" applyBorder="1" applyAlignment="1">
      <alignment horizontal="center"/>
    </xf>
    <xf numFmtId="0" fontId="54" fillId="0" borderId="24" xfId="185" applyFont="1" applyBorder="1" applyAlignment="1">
      <alignment horizontal="center"/>
    </xf>
    <xf numFmtId="0" fontId="54" fillId="0" borderId="24" xfId="185" applyFont="1" applyBorder="1" applyAlignment="1">
      <alignment horizontal="left"/>
    </xf>
    <xf numFmtId="9" fontId="52" fillId="0" borderId="24" xfId="185" applyNumberFormat="1" applyFont="1" applyBorder="1" applyAlignment="1">
      <alignment horizontal="center"/>
    </xf>
    <xf numFmtId="0" fontId="54" fillId="0" borderId="24" xfId="185" applyFont="1" applyBorder="1" applyAlignment="1">
      <alignment horizontal="right"/>
    </xf>
    <xf numFmtId="0" fontId="52" fillId="0" borderId="24" xfId="185" applyFont="1" applyBorder="1" applyAlignment="1">
      <alignment horizontal="left" vertical="center" wrapText="1"/>
    </xf>
    <xf numFmtId="0" fontId="53" fillId="0" borderId="24" xfId="0" applyFont="1" applyBorder="1" applyAlignment="1">
      <alignment wrapText="1"/>
    </xf>
    <xf numFmtId="0" fontId="52" fillId="0" borderId="24" xfId="185" applyFont="1" applyBorder="1" applyAlignment="1">
      <alignment horizontal="center" vertical="center"/>
    </xf>
    <xf numFmtId="3" fontId="52" fillId="0" borderId="24" xfId="185" applyNumberFormat="1" applyFont="1" applyBorder="1" applyAlignment="1">
      <alignment horizontal="center" vertical="center"/>
    </xf>
    <xf numFmtId="0" fontId="53" fillId="0" borderId="24" xfId="0" applyFont="1" applyBorder="1"/>
    <xf numFmtId="0" fontId="54" fillId="0" borderId="24" xfId="185" applyFont="1" applyBorder="1" applyAlignment="1">
      <alignment vertical="center"/>
    </xf>
    <xf numFmtId="0" fontId="52" fillId="0" borderId="24" xfId="185" applyFont="1" applyBorder="1" applyAlignment="1">
      <alignment horizontal="center" vertical="center" wrapText="1"/>
    </xf>
    <xf numFmtId="0" fontId="53" fillId="0" borderId="24" xfId="0" applyFont="1" applyBorder="1" applyAlignment="1">
      <alignment horizontal="center" vertical="center"/>
    </xf>
    <xf numFmtId="0" fontId="53" fillId="0" borderId="24" xfId="0" applyFont="1" applyBorder="1" applyAlignment="1">
      <alignment horizontal="center"/>
    </xf>
    <xf numFmtId="0" fontId="52" fillId="0" borderId="24" xfId="185" applyFont="1" applyBorder="1" applyAlignment="1">
      <alignment horizontal="center"/>
    </xf>
    <xf numFmtId="0" fontId="52" fillId="0" borderId="24" xfId="185" applyFont="1" applyBorder="1"/>
    <xf numFmtId="0" fontId="56" fillId="0" borderId="24" xfId="0" applyFont="1" applyBorder="1"/>
    <xf numFmtId="1" fontId="55" fillId="0" borderId="24" xfId="185" applyNumberFormat="1" applyFont="1" applyBorder="1" applyAlignment="1">
      <alignment horizontal="center" vertical="center" wrapText="1"/>
    </xf>
    <xf numFmtId="0" fontId="54" fillId="0" borderId="24" xfId="185" applyFont="1" applyBorder="1" applyAlignment="1">
      <alignment horizontal="left" vertical="center"/>
    </xf>
    <xf numFmtId="0" fontId="56" fillId="0" borderId="0" xfId="0" applyFont="1"/>
    <xf numFmtId="9" fontId="56" fillId="0" borderId="0" xfId="0" applyNumberFormat="1" applyFont="1" applyAlignment="1">
      <alignment horizontal="center"/>
    </xf>
    <xf numFmtId="0" fontId="58" fillId="0" borderId="0" xfId="185" applyFont="1"/>
    <xf numFmtId="9" fontId="55" fillId="0" borderId="0" xfId="0" applyNumberFormat="1" applyFont="1" applyAlignment="1">
      <alignment horizontal="center"/>
    </xf>
    <xf numFmtId="0" fontId="52" fillId="0" borderId="0" xfId="0" applyFont="1"/>
    <xf numFmtId="3" fontId="55" fillId="0" borderId="24" xfId="0" applyNumberFormat="1" applyFont="1" applyBorder="1" applyAlignment="1">
      <alignment horizontal="center" vertical="center"/>
    </xf>
    <xf numFmtId="1" fontId="55" fillId="0" borderId="24" xfId="185" applyNumberFormat="1" applyFont="1" applyBorder="1" applyAlignment="1">
      <alignment horizontal="center" wrapText="1"/>
    </xf>
    <xf numFmtId="0" fontId="57" fillId="0" borderId="0" xfId="177" applyFont="1" applyAlignment="1">
      <alignment vertical="center"/>
    </xf>
    <xf numFmtId="0" fontId="57" fillId="0" borderId="0" xfId="177" applyFont="1" applyAlignment="1">
      <alignment vertical="center" wrapText="1"/>
    </xf>
    <xf numFmtId="10" fontId="57" fillId="0" borderId="0" xfId="177" applyNumberFormat="1" applyFont="1" applyAlignment="1">
      <alignment horizontal="left" vertical="center"/>
    </xf>
    <xf numFmtId="0" fontId="57" fillId="0" borderId="23" xfId="185" applyFont="1" applyBorder="1"/>
    <xf numFmtId="0" fontId="57" fillId="0" borderId="14" xfId="185" applyFont="1" applyBorder="1" applyAlignment="1">
      <alignment horizontal="center" wrapText="1"/>
    </xf>
    <xf numFmtId="0" fontId="55" fillId="0" borderId="14" xfId="0" applyFont="1" applyBorder="1" applyAlignment="1">
      <alignment horizontal="center"/>
    </xf>
    <xf numFmtId="0" fontId="55" fillId="0" borderId="14" xfId="0" applyFont="1" applyBorder="1" applyAlignment="1">
      <alignment horizontal="center" wrapText="1"/>
    </xf>
    <xf numFmtId="0" fontId="57" fillId="0" borderId="14" xfId="185" applyFont="1" applyBorder="1"/>
    <xf numFmtId="0" fontId="57" fillId="0" borderId="14" xfId="0" applyFont="1" applyBorder="1"/>
    <xf numFmtId="0" fontId="57" fillId="0" borderId="23" xfId="185" applyFont="1" applyBorder="1" applyAlignment="1">
      <alignment horizontal="center"/>
    </xf>
    <xf numFmtId="0" fontId="57" fillId="0" borderId="14" xfId="185" applyFont="1" applyBorder="1" applyAlignment="1">
      <alignment horizontal="center"/>
    </xf>
    <xf numFmtId="0" fontId="57" fillId="0" borderId="27" xfId="185" applyFont="1" applyBorder="1"/>
    <xf numFmtId="0" fontId="57" fillId="0" borderId="14" xfId="185" applyFont="1" applyBorder="1" applyAlignment="1">
      <alignment horizontal="left"/>
    </xf>
    <xf numFmtId="0" fontId="55" fillId="0" borderId="14" xfId="0" applyFont="1" applyBorder="1"/>
    <xf numFmtId="0" fontId="55" fillId="0" borderId="14" xfId="185" applyFont="1" applyBorder="1" applyAlignment="1">
      <alignment horizontal="center"/>
    </xf>
    <xf numFmtId="0" fontId="55" fillId="0" borderId="14" xfId="185" applyFont="1" applyBorder="1" applyAlignment="1">
      <alignment horizontal="center" vertical="center"/>
    </xf>
    <xf numFmtId="0" fontId="55" fillId="0" borderId="14" xfId="185" applyFont="1" applyBorder="1" applyAlignment="1">
      <alignment horizontal="center" vertical="center" wrapText="1"/>
    </xf>
    <xf numFmtId="2" fontId="55" fillId="0" borderId="14" xfId="0" applyNumberFormat="1" applyFont="1" applyBorder="1" applyAlignment="1">
      <alignment horizontal="center"/>
    </xf>
    <xf numFmtId="10" fontId="55" fillId="0" borderId="14" xfId="0" applyNumberFormat="1" applyFont="1" applyBorder="1" applyAlignment="1">
      <alignment horizontal="center"/>
    </xf>
    <xf numFmtId="9" fontId="55" fillId="0" borderId="14" xfId="185" applyNumberFormat="1" applyFont="1" applyBorder="1" applyAlignment="1">
      <alignment horizontal="center"/>
    </xf>
    <xf numFmtId="9" fontId="55" fillId="0" borderId="14" xfId="0" applyNumberFormat="1" applyFont="1" applyBorder="1" applyAlignment="1">
      <alignment horizontal="center"/>
    </xf>
    <xf numFmtId="0" fontId="57" fillId="0" borderId="31" xfId="185" applyFont="1" applyBorder="1"/>
    <xf numFmtId="0" fontId="57" fillId="0" borderId="32" xfId="185" applyFont="1" applyBorder="1" applyAlignment="1">
      <alignment horizontal="right"/>
    </xf>
    <xf numFmtId="2" fontId="55" fillId="0" borderId="14" xfId="0" applyNumberFormat="1" applyFont="1" applyBorder="1"/>
    <xf numFmtId="0" fontId="55" fillId="0" borderId="14" xfId="185" applyFont="1" applyBorder="1" applyAlignment="1">
      <alignment horizontal="left" vertical="center" wrapText="1"/>
    </xf>
    <xf numFmtId="0" fontId="55" fillId="0" borderId="14" xfId="0" applyFont="1" applyBorder="1" applyAlignment="1">
      <alignment wrapText="1"/>
    </xf>
    <xf numFmtId="3" fontId="55" fillId="0" borderId="14" xfId="0" applyNumberFormat="1" applyFont="1" applyBorder="1" applyAlignment="1">
      <alignment horizontal="center"/>
    </xf>
    <xf numFmtId="3" fontId="55" fillId="0" borderId="14" xfId="185" applyNumberFormat="1" applyFont="1" applyBorder="1" applyAlignment="1">
      <alignment horizontal="center" vertical="center"/>
    </xf>
    <xf numFmtId="1" fontId="55" fillId="0" borderId="14" xfId="0" applyNumberFormat="1" applyFont="1" applyBorder="1" applyAlignment="1">
      <alignment horizontal="center"/>
    </xf>
    <xf numFmtId="0" fontId="55" fillId="0" borderId="14" xfId="185" applyFont="1" applyBorder="1"/>
    <xf numFmtId="0" fontId="57" fillId="0" borderId="31" xfId="185" applyFont="1" applyBorder="1" applyAlignment="1">
      <alignment vertical="center"/>
    </xf>
    <xf numFmtId="0" fontId="57" fillId="0" borderId="32" xfId="185" applyFont="1" applyBorder="1" applyAlignment="1">
      <alignment vertical="center"/>
    </xf>
    <xf numFmtId="2" fontId="55" fillId="0" borderId="14" xfId="185" applyNumberFormat="1" applyFont="1" applyBorder="1" applyAlignment="1">
      <alignment horizontal="center"/>
    </xf>
    <xf numFmtId="4" fontId="55" fillId="0" borderId="14" xfId="0" applyNumberFormat="1" applyFont="1" applyBorder="1" applyAlignment="1">
      <alignment horizontal="center"/>
    </xf>
    <xf numFmtId="0" fontId="55" fillId="0" borderId="14" xfId="0" applyFont="1" applyBorder="1" applyAlignment="1">
      <alignment horizontal="center" vertical="center"/>
    </xf>
    <xf numFmtId="0" fontId="55" fillId="0" borderId="0" xfId="185" applyFont="1" applyAlignment="1">
      <alignment horizontal="center"/>
    </xf>
    <xf numFmtId="2" fontId="55" fillId="0" borderId="14" xfId="185" applyNumberFormat="1" applyFont="1" applyBorder="1"/>
    <xf numFmtId="0" fontId="57" fillId="0" borderId="0" xfId="185" applyFont="1"/>
    <xf numFmtId="0" fontId="55" fillId="0" borderId="14" xfId="185" applyFont="1" applyBorder="1" applyAlignment="1">
      <alignment wrapText="1"/>
    </xf>
    <xf numFmtId="0" fontId="57" fillId="0" borderId="33" xfId="185" applyFont="1" applyBorder="1" applyAlignment="1">
      <alignment horizontal="center"/>
    </xf>
    <xf numFmtId="0" fontId="57" fillId="0" borderId="32" xfId="185" applyFont="1" applyBorder="1"/>
    <xf numFmtId="1" fontId="55" fillId="0" borderId="14" xfId="185" applyNumberFormat="1" applyFont="1" applyBorder="1" applyAlignment="1">
      <alignment horizontal="center" vertical="center" wrapText="1"/>
    </xf>
    <xf numFmtId="2" fontId="55" fillId="0" borderId="14" xfId="185" applyNumberFormat="1" applyFont="1" applyBorder="1" applyAlignment="1">
      <alignment horizontal="center" vertical="center" wrapText="1"/>
    </xf>
    <xf numFmtId="0" fontId="57" fillId="0" borderId="14" xfId="185" applyFont="1" applyBorder="1" applyAlignment="1">
      <alignment horizontal="left" vertical="center"/>
    </xf>
    <xf numFmtId="3" fontId="55" fillId="0" borderId="14" xfId="185" applyNumberFormat="1" applyFont="1" applyBorder="1" applyAlignment="1">
      <alignment horizontal="center"/>
    </xf>
    <xf numFmtId="0" fontId="0" fillId="0" borderId="49" xfId="0" applyBorder="1"/>
    <xf numFmtId="1" fontId="42" fillId="0" borderId="49" xfId="0" applyNumberFormat="1" applyFont="1" applyBorder="1" applyAlignment="1">
      <alignment horizontal="center" vertical="center" wrapText="1"/>
    </xf>
    <xf numFmtId="0" fontId="54" fillId="0" borderId="21" xfId="185" applyFont="1" applyBorder="1" applyAlignment="1">
      <alignment horizontal="center" wrapText="1"/>
    </xf>
    <xf numFmtId="0" fontId="53" fillId="0" borderId="35" xfId="0" applyFont="1" applyBorder="1" applyAlignment="1">
      <alignment horizontal="center" wrapText="1"/>
    </xf>
    <xf numFmtId="0" fontId="53" fillId="0" borderId="36" xfId="0" applyFont="1" applyBorder="1" applyAlignment="1">
      <alignment horizontal="center" wrapText="1"/>
    </xf>
    <xf numFmtId="0" fontId="54" fillId="0" borderId="37" xfId="185" applyFont="1" applyBorder="1" applyAlignment="1">
      <alignment horizontal="center"/>
    </xf>
    <xf numFmtId="9" fontId="52" fillId="0" borderId="14" xfId="185" applyNumberFormat="1" applyFont="1" applyBorder="1" applyAlignment="1">
      <alignment horizontal="center"/>
    </xf>
    <xf numFmtId="0" fontId="52" fillId="0" borderId="21" xfId="185" applyFont="1" applyBorder="1" applyAlignment="1">
      <alignment horizontal="center" vertical="center"/>
    </xf>
    <xf numFmtId="0" fontId="52" fillId="0" borderId="46" xfId="185" applyFont="1" applyBorder="1" applyAlignment="1">
      <alignment horizontal="center" vertical="center" wrapText="1"/>
    </xf>
    <xf numFmtId="0" fontId="53" fillId="0" borderId="46" xfId="0" applyFont="1" applyBorder="1" applyAlignment="1">
      <alignment horizontal="center" vertical="center"/>
    </xf>
    <xf numFmtId="0" fontId="52" fillId="0" borderId="23" xfId="185" applyFont="1" applyBorder="1" applyAlignment="1">
      <alignment horizontal="center" vertical="center" wrapText="1"/>
    </xf>
    <xf numFmtId="0" fontId="53" fillId="0" borderId="23" xfId="0" applyFont="1" applyBorder="1" applyAlignment="1">
      <alignment horizontal="center"/>
    </xf>
    <xf numFmtId="0" fontId="52" fillId="0" borderId="20" xfId="185" applyFont="1" applyBorder="1" applyAlignment="1">
      <alignment horizontal="left" vertical="center" wrapText="1"/>
    </xf>
    <xf numFmtId="0" fontId="52" fillId="0" borderId="24" xfId="185" applyFont="1" applyBorder="1" applyAlignment="1">
      <alignment wrapText="1"/>
    </xf>
    <xf numFmtId="0" fontId="52" fillId="0" borderId="34" xfId="185" applyFont="1" applyBorder="1"/>
    <xf numFmtId="0" fontId="54" fillId="0" borderId="21" xfId="185" applyFont="1" applyBorder="1" applyAlignment="1">
      <alignment horizontal="center"/>
    </xf>
    <xf numFmtId="0" fontId="56" fillId="0" borderId="24" xfId="0" applyFont="1" applyBorder="1" applyAlignment="1">
      <alignment horizontal="center" wrapText="1"/>
    </xf>
    <xf numFmtId="0" fontId="56" fillId="0" borderId="22" xfId="0" applyFont="1" applyBorder="1"/>
    <xf numFmtId="0" fontId="55" fillId="0" borderId="22" xfId="185" applyFont="1" applyBorder="1" applyAlignment="1">
      <alignment horizontal="center" vertical="center" wrapText="1"/>
    </xf>
    <xf numFmtId="0" fontId="55" fillId="0" borderId="35" xfId="185" applyFont="1" applyBorder="1" applyAlignment="1">
      <alignment horizontal="center" vertical="center" wrapText="1"/>
    </xf>
    <xf numFmtId="0" fontId="52" fillId="0" borderId="22" xfId="185" applyFont="1" applyBorder="1" applyAlignment="1">
      <alignment horizontal="center" vertical="center"/>
    </xf>
    <xf numFmtId="0" fontId="52" fillId="0" borderId="0" xfId="0" applyFont="1" applyAlignment="1">
      <alignment wrapText="1"/>
    </xf>
    <xf numFmtId="3" fontId="52" fillId="0" borderId="24" xfId="185" applyNumberFormat="1" applyFont="1" applyBorder="1" applyAlignment="1">
      <alignment horizontal="center"/>
    </xf>
    <xf numFmtId="3" fontId="55" fillId="0" borderId="24" xfId="185" applyNumberFormat="1" applyFont="1" applyBorder="1" applyAlignment="1">
      <alignment horizontal="center"/>
    </xf>
    <xf numFmtId="0" fontId="57" fillId="0" borderId="0" xfId="177" applyFont="1" applyAlignment="1">
      <alignment horizontal="left" vertical="center" wrapText="1"/>
    </xf>
    <xf numFmtId="0" fontId="55" fillId="0" borderId="22" xfId="0" applyFont="1" applyBorder="1"/>
    <xf numFmtId="0" fontId="46" fillId="0" borderId="0" xfId="185" applyFont="1"/>
    <xf numFmtId="0" fontId="46" fillId="0" borderId="0" xfId="185" applyFont="1" applyAlignment="1">
      <alignment wrapText="1"/>
    </xf>
    <xf numFmtId="0" fontId="44" fillId="0" borderId="0" xfId="0" applyFont="1" applyAlignment="1">
      <alignment horizontal="right"/>
    </xf>
    <xf numFmtId="0" fontId="47" fillId="0" borderId="0" xfId="177" applyFont="1" applyAlignment="1">
      <alignment horizontal="left" vertical="center"/>
    </xf>
    <xf numFmtId="2" fontId="44" fillId="0" borderId="0" xfId="0" applyNumberFormat="1" applyFont="1"/>
    <xf numFmtId="3" fontId="44" fillId="0" borderId="0" xfId="181" applyNumberFormat="1" applyFont="1" applyAlignment="1">
      <alignment horizontal="center" vertical="center" wrapText="1"/>
    </xf>
    <xf numFmtId="9" fontId="44" fillId="0" borderId="0" xfId="215" applyFont="1" applyFill="1" applyBorder="1" applyAlignment="1">
      <alignment horizontal="center" vertical="center" wrapText="1"/>
    </xf>
    <xf numFmtId="0" fontId="44" fillId="0" borderId="0" xfId="177" applyFont="1" applyAlignment="1">
      <alignment wrapText="1"/>
    </xf>
    <xf numFmtId="0" fontId="44" fillId="0" borderId="0" xfId="177" applyFont="1"/>
    <xf numFmtId="0" fontId="44" fillId="0" borderId="0" xfId="185" applyFont="1"/>
    <xf numFmtId="0" fontId="44" fillId="0" borderId="0" xfId="185" applyFont="1" applyAlignment="1">
      <alignment wrapText="1"/>
    </xf>
    <xf numFmtId="0" fontId="47" fillId="0" borderId="24" xfId="185" applyFont="1" applyBorder="1"/>
    <xf numFmtId="0" fontId="47" fillId="0" borderId="24" xfId="185" applyFont="1" applyBorder="1" applyAlignment="1">
      <alignment horizontal="center" wrapText="1"/>
    </xf>
    <xf numFmtId="0" fontId="47" fillId="0" borderId="24" xfId="185" applyFont="1" applyBorder="1" applyAlignment="1">
      <alignment horizontal="center"/>
    </xf>
    <xf numFmtId="0" fontId="44" fillId="0" borderId="24" xfId="0" applyFont="1" applyBorder="1" applyAlignment="1">
      <alignment horizontal="center"/>
    </xf>
    <xf numFmtId="0" fontId="47" fillId="0" borderId="24" xfId="0" applyFont="1" applyBorder="1"/>
    <xf numFmtId="0" fontId="44" fillId="0" borderId="24" xfId="185" applyFont="1" applyBorder="1" applyAlignment="1">
      <alignment horizontal="center"/>
    </xf>
    <xf numFmtId="0" fontId="44" fillId="0" borderId="24" xfId="185" applyFont="1" applyBorder="1" applyAlignment="1">
      <alignment horizontal="left" vertical="center" wrapText="1"/>
    </xf>
    <xf numFmtId="0" fontId="44" fillId="0" borderId="24" xfId="185" applyFont="1" applyBorder="1" applyAlignment="1">
      <alignment horizontal="center" vertical="center" wrapText="1"/>
    </xf>
    <xf numFmtId="0" fontId="47" fillId="0" borderId="24" xfId="185" applyFont="1" applyBorder="1" applyAlignment="1">
      <alignment horizontal="left"/>
    </xf>
    <xf numFmtId="9" fontId="44" fillId="0" borderId="24" xfId="0" applyNumberFormat="1" applyFont="1" applyBorder="1" applyAlignment="1">
      <alignment horizontal="center"/>
    </xf>
    <xf numFmtId="0" fontId="44" fillId="0" borderId="24" xfId="185" applyFont="1" applyBorder="1" applyAlignment="1">
      <alignment horizontal="center" vertical="center"/>
    </xf>
    <xf numFmtId="10" fontId="44" fillId="0" borderId="24" xfId="0" applyNumberFormat="1" applyFont="1" applyBorder="1" applyAlignment="1">
      <alignment horizontal="center"/>
    </xf>
    <xf numFmtId="2" fontId="44" fillId="0" borderId="24" xfId="0" applyNumberFormat="1" applyFont="1" applyBorder="1" applyAlignment="1">
      <alignment horizontal="center"/>
    </xf>
    <xf numFmtId="0" fontId="47" fillId="0" borderId="24" xfId="185" applyFont="1" applyBorder="1" applyAlignment="1">
      <alignment horizontal="right"/>
    </xf>
    <xf numFmtId="3" fontId="44" fillId="0" borderId="24" xfId="0" applyNumberFormat="1" applyFont="1" applyBorder="1" applyAlignment="1">
      <alignment horizontal="center"/>
    </xf>
    <xf numFmtId="3" fontId="44" fillId="0" borderId="24" xfId="185" applyNumberFormat="1" applyFont="1" applyBorder="1" applyAlignment="1">
      <alignment horizontal="center" vertical="center"/>
    </xf>
    <xf numFmtId="1" fontId="44" fillId="0" borderId="24" xfId="0" applyNumberFormat="1" applyFont="1" applyBorder="1" applyAlignment="1">
      <alignment horizontal="center"/>
    </xf>
    <xf numFmtId="0" fontId="47" fillId="0" borderId="24" xfId="185" applyFont="1" applyBorder="1" applyAlignment="1">
      <alignment horizontal="left" vertical="center" wrapText="1"/>
    </xf>
    <xf numFmtId="0" fontId="47" fillId="0" borderId="24" xfId="185" applyFont="1" applyBorder="1" applyAlignment="1">
      <alignment horizontal="left" vertical="center"/>
    </xf>
    <xf numFmtId="0" fontId="47" fillId="0" borderId="24" xfId="185" applyFont="1" applyBorder="1" applyAlignment="1">
      <alignment vertical="center"/>
    </xf>
    <xf numFmtId="2" fontId="44" fillId="0" borderId="24" xfId="185" applyNumberFormat="1" applyFont="1" applyBorder="1" applyAlignment="1">
      <alignment horizontal="center"/>
    </xf>
    <xf numFmtId="4" fontId="44" fillId="0" borderId="24" xfId="0" applyNumberFormat="1" applyFont="1" applyBorder="1" applyAlignment="1">
      <alignment horizontal="center"/>
    </xf>
    <xf numFmtId="1" fontId="44" fillId="0" borderId="24" xfId="185" applyNumberFormat="1" applyFont="1" applyBorder="1" applyAlignment="1">
      <alignment horizontal="center"/>
    </xf>
    <xf numFmtId="2" fontId="44" fillId="0" borderId="24" xfId="185" applyNumberFormat="1" applyFont="1" applyBorder="1"/>
    <xf numFmtId="0" fontId="44" fillId="0" borderId="24" xfId="0" applyFont="1" applyBorder="1"/>
    <xf numFmtId="0" fontId="44" fillId="0" borderId="24" xfId="185" applyFont="1" applyBorder="1" applyAlignment="1">
      <alignment wrapText="1"/>
    </xf>
    <xf numFmtId="2" fontId="44" fillId="0" borderId="24" xfId="0" applyNumberFormat="1" applyFont="1" applyBorder="1"/>
    <xf numFmtId="1" fontId="44" fillId="0" borderId="24" xfId="185" applyNumberFormat="1" applyFont="1" applyBorder="1" applyAlignment="1">
      <alignment horizontal="center" vertical="center" wrapText="1"/>
    </xf>
    <xf numFmtId="0" fontId="57" fillId="0" borderId="24" xfId="185" applyFont="1" applyBorder="1" applyAlignment="1">
      <alignment horizontal="left"/>
    </xf>
    <xf numFmtId="0" fontId="44" fillId="0" borderId="24" xfId="185" applyFont="1" applyBorder="1"/>
    <xf numFmtId="3" fontId="44" fillId="0" borderId="24" xfId="185" applyNumberFormat="1" applyFont="1" applyBorder="1" applyAlignment="1">
      <alignment horizontal="center"/>
    </xf>
    <xf numFmtId="0" fontId="57" fillId="0" borderId="24" xfId="185" applyFont="1" applyBorder="1" applyAlignment="1">
      <alignment horizontal="left" vertical="center"/>
    </xf>
    <xf numFmtId="9" fontId="55" fillId="0" borderId="24" xfId="185" applyNumberFormat="1" applyFont="1" applyBorder="1" applyAlignment="1">
      <alignment horizontal="center" wrapText="1"/>
    </xf>
    <xf numFmtId="0" fontId="57" fillId="0" borderId="24" xfId="185" applyFont="1" applyBorder="1" applyAlignment="1">
      <alignment horizontal="left" wrapText="1"/>
    </xf>
    <xf numFmtId="0" fontId="55" fillId="0" borderId="24" xfId="0" applyFont="1" applyBorder="1" applyAlignment="1">
      <alignment horizontal="center" vertical="center" wrapText="1"/>
    </xf>
    <xf numFmtId="165" fontId="55" fillId="0" borderId="24" xfId="0" applyNumberFormat="1" applyFont="1" applyBorder="1" applyAlignment="1">
      <alignment horizontal="center"/>
    </xf>
    <xf numFmtId="0" fontId="55" fillId="0" borderId="47" xfId="185" applyFont="1" applyBorder="1"/>
    <xf numFmtId="0" fontId="57" fillId="0" borderId="33" xfId="185" applyFont="1" applyBorder="1" applyAlignment="1">
      <alignment horizontal="right"/>
    </xf>
    <xf numFmtId="0" fontId="57" fillId="0" borderId="30" xfId="185" applyFont="1" applyBorder="1"/>
    <xf numFmtId="9" fontId="55" fillId="0" borderId="0" xfId="215" applyFont="1" applyFill="1" applyBorder="1" applyAlignment="1">
      <alignment horizontal="center" vertical="center" wrapText="1"/>
    </xf>
    <xf numFmtId="3" fontId="55" fillId="0" borderId="0" xfId="181" applyNumberFormat="1" applyFont="1" applyAlignment="1">
      <alignment horizontal="center" vertical="center" wrapText="1"/>
    </xf>
    <xf numFmtId="3" fontId="55" fillId="0" borderId="48" xfId="181" applyNumberFormat="1" applyFont="1" applyBorder="1" applyAlignment="1">
      <alignment horizontal="center" vertical="center" wrapText="1"/>
    </xf>
    <xf numFmtId="9" fontId="55" fillId="0" borderId="48" xfId="215" applyFont="1" applyFill="1" applyBorder="1" applyAlignment="1">
      <alignment horizontal="center" vertical="center" wrapText="1"/>
    </xf>
    <xf numFmtId="0" fontId="55" fillId="0" borderId="24" xfId="0" applyFont="1" applyBorder="1" applyAlignment="1">
      <alignment horizontal="left" vertical="center" wrapText="1"/>
    </xf>
    <xf numFmtId="0" fontId="48" fillId="0" borderId="0" xfId="0" applyFont="1"/>
    <xf numFmtId="0" fontId="57" fillId="0" borderId="24" xfId="185" applyFont="1" applyBorder="1" applyAlignment="1">
      <alignment vertical="top"/>
    </xf>
    <xf numFmtId="0" fontId="55" fillId="0" borderId="24" xfId="0" applyFont="1" applyBorder="1" applyAlignment="1">
      <alignment vertical="center" wrapText="1"/>
    </xf>
    <xf numFmtId="3" fontId="48" fillId="0" borderId="0" xfId="181" applyNumberFormat="1" applyFont="1" applyAlignment="1">
      <alignment horizontal="center" vertical="center" wrapText="1"/>
    </xf>
    <xf numFmtId="9" fontId="48" fillId="0" borderId="0" xfId="215" applyFont="1" applyFill="1" applyBorder="1" applyAlignment="1">
      <alignment horizontal="center" vertical="center" wrapText="1"/>
    </xf>
    <xf numFmtId="0" fontId="45" fillId="0" borderId="24" xfId="185" applyFont="1" applyBorder="1"/>
    <xf numFmtId="0" fontId="45" fillId="0" borderId="24" xfId="185" applyFont="1" applyBorder="1" applyAlignment="1">
      <alignment horizontal="center" wrapText="1"/>
    </xf>
    <xf numFmtId="0" fontId="45" fillId="0" borderId="24" xfId="185" applyFont="1" applyBorder="1" applyAlignment="1">
      <alignment horizontal="center"/>
    </xf>
    <xf numFmtId="0" fontId="45" fillId="0" borderId="24" xfId="185" applyFont="1" applyBorder="1" applyAlignment="1">
      <alignment horizontal="left" wrapText="1"/>
    </xf>
    <xf numFmtId="0" fontId="46" fillId="0" borderId="24" xfId="185" applyFont="1" applyBorder="1" applyAlignment="1">
      <alignment horizontal="center"/>
    </xf>
    <xf numFmtId="0" fontId="46" fillId="0" borderId="24" xfId="185" applyFont="1" applyBorder="1" applyAlignment="1">
      <alignment horizontal="left" vertical="center" wrapText="1"/>
    </xf>
    <xf numFmtId="0" fontId="46" fillId="0" borderId="24" xfId="185" applyFont="1" applyBorder="1" applyAlignment="1">
      <alignment horizontal="center" vertical="center" wrapText="1"/>
    </xf>
    <xf numFmtId="0" fontId="45" fillId="0" borderId="24" xfId="185" applyFont="1" applyBorder="1" applyAlignment="1">
      <alignment horizontal="right"/>
    </xf>
    <xf numFmtId="0" fontId="46" fillId="0" borderId="24" xfId="185" applyFont="1" applyBorder="1" applyAlignment="1">
      <alignment horizontal="center" wrapText="1"/>
    </xf>
    <xf numFmtId="0" fontId="46" fillId="0" borderId="24" xfId="185" applyFont="1" applyBorder="1" applyAlignment="1">
      <alignment wrapText="1"/>
    </xf>
    <xf numFmtId="0" fontId="45" fillId="0" borderId="24" xfId="185" applyFont="1" applyBorder="1" applyAlignment="1">
      <alignment horizontal="left" vertical="center" wrapText="1"/>
    </xf>
    <xf numFmtId="0" fontId="45" fillId="0" borderId="24" xfId="185" applyFont="1" applyBorder="1" applyAlignment="1">
      <alignment vertical="center"/>
    </xf>
    <xf numFmtId="0" fontId="46" fillId="0" borderId="24" xfId="185" applyFont="1" applyBorder="1"/>
    <xf numFmtId="2" fontId="44" fillId="0" borderId="24" xfId="185" applyNumberFormat="1" applyFont="1" applyBorder="1" applyAlignment="1">
      <alignment horizontal="center" vertical="center" wrapText="1"/>
    </xf>
    <xf numFmtId="1" fontId="44" fillId="0" borderId="24" xfId="185" applyNumberFormat="1" applyFont="1" applyBorder="1" applyAlignment="1">
      <alignment horizontal="center" vertical="center"/>
    </xf>
    <xf numFmtId="0" fontId="46" fillId="0" borderId="0" xfId="0" applyFont="1"/>
    <xf numFmtId="0" fontId="46" fillId="0" borderId="0" xfId="0" applyFont="1" applyAlignment="1">
      <alignment wrapText="1"/>
    </xf>
    <xf numFmtId="0" fontId="48" fillId="0" borderId="0" xfId="0" applyFont="1" applyAlignment="1">
      <alignment wrapText="1"/>
    </xf>
    <xf numFmtId="0" fontId="55" fillId="0" borderId="24" xfId="185" applyFont="1" applyBorder="1" applyAlignment="1">
      <alignment horizontal="right" vertical="center"/>
    </xf>
    <xf numFmtId="165" fontId="55" fillId="0" borderId="24" xfId="185" applyNumberFormat="1" applyFont="1" applyBorder="1" applyAlignment="1">
      <alignment horizontal="center"/>
    </xf>
    <xf numFmtId="1" fontId="44" fillId="0" borderId="24" xfId="185" applyNumberFormat="1" applyFont="1" applyBorder="1" applyAlignment="1">
      <alignment horizontal="center" wrapText="1"/>
    </xf>
    <xf numFmtId="9" fontId="55" fillId="0" borderId="26" xfId="0" applyNumberFormat="1" applyFont="1" applyBorder="1" applyAlignment="1">
      <alignment horizontal="center"/>
    </xf>
    <xf numFmtId="9" fontId="55" fillId="0" borderId="19" xfId="0" applyNumberFormat="1" applyFont="1" applyBorder="1" applyAlignment="1">
      <alignment horizontal="center"/>
    </xf>
    <xf numFmtId="10" fontId="55" fillId="0" borderId="24" xfId="185" applyNumberFormat="1" applyFont="1" applyBorder="1" applyAlignment="1">
      <alignment horizontal="center" vertical="center" wrapText="1"/>
    </xf>
    <xf numFmtId="9" fontId="55" fillId="0" borderId="24" xfId="185" applyNumberFormat="1" applyFont="1" applyBorder="1" applyAlignment="1">
      <alignment horizontal="center" vertical="center"/>
    </xf>
    <xf numFmtId="2" fontId="55" fillId="0" borderId="24" xfId="0" applyNumberFormat="1" applyFont="1" applyBorder="1" applyAlignment="1">
      <alignment horizontal="center"/>
    </xf>
    <xf numFmtId="0" fontId="55" fillId="0" borderId="24" xfId="0" applyFont="1" applyBorder="1" applyAlignment="1">
      <alignment horizontal="center"/>
    </xf>
    <xf numFmtId="9" fontId="55" fillId="0" borderId="24" xfId="0" applyNumberFormat="1" applyFont="1" applyBorder="1" applyAlignment="1">
      <alignment horizontal="center"/>
    </xf>
    <xf numFmtId="10" fontId="55" fillId="0" borderId="24" xfId="185" applyNumberFormat="1" applyFont="1" applyBorder="1" applyAlignment="1">
      <alignment horizontal="center" vertical="center"/>
    </xf>
    <xf numFmtId="10" fontId="55" fillId="0" borderId="24" xfId="0" applyNumberFormat="1" applyFont="1" applyBorder="1" applyAlignment="1">
      <alignment horizontal="center"/>
    </xf>
    <xf numFmtId="10" fontId="55" fillId="0" borderId="26" xfId="0" applyNumberFormat="1" applyFont="1" applyBorder="1" applyAlignment="1">
      <alignment horizontal="center"/>
    </xf>
    <xf numFmtId="0" fontId="0" fillId="0" borderId="19" xfId="0" applyBorder="1" applyAlignment="1">
      <alignment horizontal="center"/>
    </xf>
    <xf numFmtId="0" fontId="55" fillId="0" borderId="26" xfId="0" applyFont="1" applyBorder="1" applyAlignment="1">
      <alignment horizontal="center"/>
    </xf>
    <xf numFmtId="10" fontId="55" fillId="0" borderId="19" xfId="0" applyNumberFormat="1" applyFont="1" applyBorder="1" applyAlignment="1">
      <alignment horizontal="center"/>
    </xf>
    <xf numFmtId="0" fontId="55" fillId="0" borderId="24" xfId="0" applyFont="1" applyBorder="1" applyAlignment="1">
      <alignment horizontal="center" wrapText="1"/>
    </xf>
    <xf numFmtId="9" fontId="44" fillId="0" borderId="14" xfId="0" applyNumberFormat="1" applyFont="1" applyBorder="1" applyAlignment="1">
      <alignment horizontal="center"/>
    </xf>
    <xf numFmtId="0" fontId="44" fillId="0" borderId="21" xfId="185" applyFont="1" applyBorder="1" applyAlignment="1">
      <alignment horizontal="center"/>
    </xf>
    <xf numFmtId="0" fontId="53" fillId="0" borderId="22" xfId="0" applyFont="1" applyBorder="1" applyAlignment="1">
      <alignment horizontal="center"/>
    </xf>
    <xf numFmtId="0" fontId="44" fillId="0" borderId="14" xfId="0" applyFont="1" applyBorder="1" applyAlignment="1">
      <alignment horizontal="center"/>
    </xf>
    <xf numFmtId="0" fontId="57" fillId="0" borderId="24" xfId="185" applyFont="1" applyBorder="1" applyAlignment="1">
      <alignment horizontal="left" vertical="center" wrapText="1"/>
    </xf>
    <xf numFmtId="0" fontId="55" fillId="0" borderId="24" xfId="0" applyFont="1" applyBorder="1"/>
    <xf numFmtId="0" fontId="57" fillId="0" borderId="24" xfId="185" applyFont="1" applyBorder="1" applyAlignment="1">
      <alignment horizontal="left" wrapText="1"/>
    </xf>
    <xf numFmtId="0" fontId="55" fillId="0" borderId="24" xfId="0" applyFont="1" applyBorder="1" applyAlignment="1">
      <alignment horizontal="left"/>
    </xf>
    <xf numFmtId="0" fontId="57" fillId="0" borderId="0" xfId="182" applyFont="1" applyAlignment="1">
      <alignment horizontal="center"/>
    </xf>
    <xf numFmtId="0" fontId="55" fillId="0" borderId="0" xfId="0" applyFont="1"/>
    <xf numFmtId="0" fontId="55" fillId="0" borderId="0" xfId="0" applyFont="1" applyAlignment="1">
      <alignment horizontal="center"/>
    </xf>
    <xf numFmtId="0" fontId="55" fillId="0" borderId="0" xfId="177" applyFont="1"/>
    <xf numFmtId="9" fontId="55" fillId="0" borderId="24" xfId="185" applyNumberFormat="1" applyFont="1" applyBorder="1" applyAlignment="1">
      <alignment horizontal="center"/>
    </xf>
    <xf numFmtId="0" fontId="55" fillId="0" borderId="24" xfId="185" applyFont="1" applyBorder="1" applyAlignment="1">
      <alignment horizontal="center" vertical="center"/>
    </xf>
    <xf numFmtId="0" fontId="57" fillId="0" borderId="25" xfId="185" applyFont="1" applyBorder="1" applyAlignment="1">
      <alignment horizontal="left"/>
    </xf>
    <xf numFmtId="0" fontId="55" fillId="0" borderId="15" xfId="0" applyFont="1" applyBorder="1"/>
    <xf numFmtId="0" fontId="0" fillId="0" borderId="15" xfId="0" applyBorder="1"/>
    <xf numFmtId="0" fontId="0" fillId="0" borderId="16" xfId="0" applyBorder="1"/>
    <xf numFmtId="9" fontId="55" fillId="0" borderId="0" xfId="185" applyNumberFormat="1" applyFont="1" applyAlignment="1">
      <alignment horizontal="center" vertical="center"/>
    </xf>
    <xf numFmtId="0" fontId="57" fillId="0" borderId="25" xfId="185" applyFont="1" applyBorder="1" applyAlignment="1">
      <alignment horizontal="left" vertical="center" wrapText="1"/>
    </xf>
    <xf numFmtId="0" fontId="55" fillId="0" borderId="15" xfId="0" applyFont="1" applyBorder="1" applyAlignment="1">
      <alignment wrapText="1"/>
    </xf>
    <xf numFmtId="0" fontId="53" fillId="0" borderId="15" xfId="0" applyFont="1" applyBorder="1"/>
    <xf numFmtId="0" fontId="53" fillId="0" borderId="16" xfId="0" applyFont="1" applyBorder="1"/>
    <xf numFmtId="0" fontId="57" fillId="0" borderId="24" xfId="185" applyFont="1" applyBorder="1"/>
    <xf numFmtId="0" fontId="55" fillId="0" borderId="24" xfId="185" applyFont="1" applyBorder="1" applyAlignment="1">
      <alignment horizontal="left" vertical="center" wrapText="1"/>
    </xf>
    <xf numFmtId="0" fontId="55" fillId="0" borderId="24" xfId="0" applyFont="1" applyBorder="1" applyAlignment="1">
      <alignment vertical="center" wrapText="1"/>
    </xf>
    <xf numFmtId="0" fontId="55" fillId="0" borderId="24" xfId="185" applyFont="1" applyBorder="1" applyAlignment="1">
      <alignment wrapText="1"/>
    </xf>
    <xf numFmtId="0" fontId="55" fillId="0" borderId="24" xfId="0" applyFont="1" applyBorder="1" applyAlignment="1">
      <alignment wrapText="1"/>
    </xf>
    <xf numFmtId="0" fontId="55" fillId="0" borderId="24" xfId="185" applyFont="1" applyBorder="1" applyAlignment="1">
      <alignment vertical="center" wrapText="1"/>
    </xf>
    <xf numFmtId="0" fontId="55" fillId="0" borderId="24" xfId="185" applyFont="1" applyBorder="1" applyAlignment="1">
      <alignment horizontal="center"/>
    </xf>
    <xf numFmtId="0" fontId="57" fillId="0" borderId="24" xfId="185" applyFont="1" applyBorder="1" applyAlignment="1">
      <alignment horizontal="center"/>
    </xf>
    <xf numFmtId="0" fontId="55" fillId="0" borderId="24" xfId="185" applyFont="1" applyBorder="1" applyAlignment="1">
      <alignment horizontal="center" vertical="center" wrapText="1"/>
    </xf>
    <xf numFmtId="0" fontId="57" fillId="0" borderId="24" xfId="185" applyFont="1" applyBorder="1" applyAlignment="1">
      <alignment horizontal="center" wrapText="1"/>
    </xf>
    <xf numFmtId="0" fontId="57" fillId="0" borderId="24" xfId="185" applyFont="1" applyBorder="1" applyAlignment="1">
      <alignment horizontal="center" vertical="center" wrapText="1"/>
    </xf>
    <xf numFmtId="0" fontId="55" fillId="0" borderId="24" xfId="0" applyFont="1" applyBorder="1" applyAlignment="1">
      <alignment horizontal="left" vertical="center" wrapText="1"/>
    </xf>
    <xf numFmtId="0" fontId="55" fillId="0" borderId="24" xfId="0" applyFont="1" applyBorder="1" applyAlignment="1">
      <alignment horizontal="center" vertical="center" wrapText="1"/>
    </xf>
    <xf numFmtId="0" fontId="55" fillId="0" borderId="24" xfId="185" applyFont="1" applyBorder="1" applyAlignment="1">
      <alignment horizontal="left" wrapText="1"/>
    </xf>
    <xf numFmtId="0" fontId="57" fillId="0" borderId="0" xfId="177" applyFont="1" applyAlignment="1">
      <alignment horizontal="left" vertical="center"/>
    </xf>
    <xf numFmtId="0" fontId="55" fillId="0" borderId="24" xfId="185" applyFont="1" applyBorder="1" applyAlignment="1">
      <alignment horizontal="left"/>
    </xf>
    <xf numFmtId="0" fontId="55" fillId="0" borderId="24" xfId="185" applyFont="1" applyBorder="1" applyAlignment="1">
      <alignment horizontal="center" wrapText="1"/>
    </xf>
    <xf numFmtId="0" fontId="57" fillId="0" borderId="25" xfId="185" applyFont="1" applyBorder="1" applyAlignment="1">
      <alignment horizontal="left" vertical="center"/>
    </xf>
    <xf numFmtId="0" fontId="57" fillId="0" borderId="25" xfId="185" applyFont="1" applyBorder="1" applyAlignment="1">
      <alignment horizontal="center"/>
    </xf>
    <xf numFmtId="0" fontId="53" fillId="0" borderId="15" xfId="0" applyFont="1" applyBorder="1" applyAlignment="1">
      <alignment horizontal="center"/>
    </xf>
    <xf numFmtId="0" fontId="53" fillId="0" borderId="16" xfId="0" applyFont="1" applyBorder="1" applyAlignment="1">
      <alignment horizontal="center"/>
    </xf>
    <xf numFmtId="0" fontId="53" fillId="0" borderId="24" xfId="0" applyFont="1" applyBorder="1" applyAlignment="1">
      <alignment horizontal="left"/>
    </xf>
    <xf numFmtId="0" fontId="57" fillId="0" borderId="24" xfId="185" applyFont="1" applyBorder="1" applyAlignment="1">
      <alignment horizontal="left"/>
    </xf>
    <xf numFmtId="0" fontId="53" fillId="0" borderId="24" xfId="0" applyFont="1" applyBorder="1"/>
    <xf numFmtId="0" fontId="57" fillId="0" borderId="15" xfId="185" applyFont="1" applyBorder="1" applyAlignment="1">
      <alignment horizontal="left"/>
    </xf>
    <xf numFmtId="9" fontId="56" fillId="0" borderId="24" xfId="0" applyNumberFormat="1" applyFont="1" applyBorder="1" applyAlignment="1">
      <alignment horizontal="center"/>
    </xf>
    <xf numFmtId="9" fontId="53" fillId="0" borderId="24" xfId="0" applyNumberFormat="1" applyFont="1" applyBorder="1" applyAlignment="1">
      <alignment horizontal="center"/>
    </xf>
    <xf numFmtId="9" fontId="52" fillId="0" borderId="24" xfId="185" applyNumberFormat="1" applyFont="1" applyBorder="1" applyAlignment="1">
      <alignment horizontal="center" vertical="center"/>
    </xf>
    <xf numFmtId="0" fontId="53" fillId="0" borderId="24" xfId="0" applyFont="1" applyBorder="1" applyAlignment="1">
      <alignment horizontal="center"/>
    </xf>
    <xf numFmtId="10" fontId="52" fillId="0" borderId="24" xfId="185" applyNumberFormat="1" applyFont="1" applyBorder="1" applyAlignment="1">
      <alignment horizontal="center" vertical="center"/>
    </xf>
    <xf numFmtId="0" fontId="53" fillId="0" borderId="24" xfId="0" applyFont="1" applyBorder="1" applyAlignment="1">
      <alignment horizontal="center" wrapText="1"/>
    </xf>
    <xf numFmtId="9" fontId="52" fillId="0" borderId="24" xfId="185" applyNumberFormat="1" applyFont="1" applyBorder="1" applyAlignment="1">
      <alignment horizontal="center"/>
    </xf>
    <xf numFmtId="0" fontId="52" fillId="0" borderId="24" xfId="185" applyFont="1" applyBorder="1" applyAlignment="1">
      <alignment horizontal="center" vertical="center"/>
    </xf>
    <xf numFmtId="0" fontId="56" fillId="0" borderId="24" xfId="0" applyFont="1" applyBorder="1" applyAlignment="1">
      <alignment horizontal="center" wrapText="1"/>
    </xf>
    <xf numFmtId="0" fontId="54" fillId="0" borderId="25" xfId="185" applyFont="1" applyBorder="1" applyAlignment="1">
      <alignment horizontal="left" vertical="center" wrapText="1"/>
    </xf>
    <xf numFmtId="0" fontId="54" fillId="0" borderId="15" xfId="185" applyFont="1" applyBorder="1" applyAlignment="1">
      <alignment horizontal="left" vertical="center" wrapText="1"/>
    </xf>
    <xf numFmtId="0" fontId="54" fillId="0" borderId="25" xfId="185" applyFont="1" applyBorder="1" applyAlignment="1">
      <alignment horizontal="left"/>
    </xf>
    <xf numFmtId="0" fontId="54" fillId="0" borderId="15" xfId="185" applyFont="1" applyBorder="1" applyAlignment="1">
      <alignment horizontal="left"/>
    </xf>
    <xf numFmtId="0" fontId="53" fillId="0" borderId="15" xfId="0" applyFont="1" applyBorder="1" applyAlignment="1">
      <alignment horizontal="left"/>
    </xf>
    <xf numFmtId="0" fontId="53" fillId="0" borderId="16" xfId="0" applyFont="1" applyBorder="1" applyAlignment="1">
      <alignment horizontal="left"/>
    </xf>
    <xf numFmtId="0" fontId="56" fillId="0" borderId="24" xfId="0" applyFont="1" applyBorder="1" applyAlignment="1">
      <alignment horizontal="center"/>
    </xf>
    <xf numFmtId="9" fontId="52" fillId="0" borderId="0" xfId="185" applyNumberFormat="1" applyFont="1" applyAlignment="1">
      <alignment horizontal="center" vertical="center"/>
    </xf>
    <xf numFmtId="0" fontId="54" fillId="0" borderId="0" xfId="182" applyFont="1" applyAlignment="1">
      <alignment horizontal="center"/>
    </xf>
    <xf numFmtId="0" fontId="53" fillId="0" borderId="0" xfId="0" applyFont="1"/>
    <xf numFmtId="0" fontId="52" fillId="0" borderId="24" xfId="185" applyFont="1" applyBorder="1" applyAlignment="1">
      <alignment horizontal="left" vertical="center" wrapText="1"/>
    </xf>
    <xf numFmtId="0" fontId="54" fillId="0" borderId="24" xfId="185" applyFont="1" applyBorder="1"/>
    <xf numFmtId="0" fontId="53" fillId="0" borderId="24" xfId="0" applyFont="1" applyBorder="1" applyAlignment="1">
      <alignment vertical="center" wrapText="1"/>
    </xf>
    <xf numFmtId="0" fontId="52" fillId="0" borderId="24" xfId="185" applyFont="1" applyBorder="1"/>
    <xf numFmtId="0" fontId="52" fillId="0" borderId="24" xfId="185" applyFont="1" applyBorder="1" applyAlignment="1">
      <alignment horizontal="left" vertical="center"/>
    </xf>
    <xf numFmtId="0" fontId="52" fillId="0" borderId="24" xfId="185" applyFont="1" applyBorder="1" applyAlignment="1">
      <alignment vertical="center" wrapText="1"/>
    </xf>
    <xf numFmtId="0" fontId="54" fillId="0" borderId="24" xfId="185" applyFont="1" applyBorder="1" applyAlignment="1">
      <alignment horizontal="center" vertical="center" wrapText="1"/>
    </xf>
    <xf numFmtId="0" fontId="54" fillId="0" borderId="24" xfId="185" applyFont="1" applyBorder="1" applyAlignment="1">
      <alignment horizontal="center"/>
    </xf>
    <xf numFmtId="0" fontId="52" fillId="0" borderId="24" xfId="185" applyFont="1" applyBorder="1" applyAlignment="1">
      <alignment horizontal="left" wrapText="1"/>
    </xf>
    <xf numFmtId="0" fontId="53" fillId="0" borderId="24" xfId="0" applyFont="1" applyBorder="1" applyAlignment="1">
      <alignment vertical="center"/>
    </xf>
    <xf numFmtId="0" fontId="54" fillId="0" borderId="24" xfId="185" applyFont="1" applyBorder="1" applyAlignment="1">
      <alignment horizontal="left"/>
    </xf>
    <xf numFmtId="0" fontId="52" fillId="0" borderId="24" xfId="185" applyFont="1" applyBorder="1" applyAlignment="1">
      <alignment horizontal="center" vertical="center" wrapText="1"/>
    </xf>
    <xf numFmtId="0" fontId="52" fillId="0" borderId="24" xfId="185" applyFont="1" applyBorder="1" applyAlignment="1">
      <alignment horizontal="center"/>
    </xf>
    <xf numFmtId="0" fontId="53" fillId="0" borderId="24" xfId="0" applyFont="1" applyBorder="1" applyAlignment="1">
      <alignment horizontal="center" vertical="center"/>
    </xf>
    <xf numFmtId="0" fontId="54" fillId="0" borderId="0" xfId="177" applyFont="1" applyAlignment="1">
      <alignment horizontal="left" vertical="center"/>
    </xf>
    <xf numFmtId="0" fontId="54" fillId="0" borderId="24" xfId="185" applyFont="1" applyBorder="1" applyAlignment="1">
      <alignment horizontal="center" vertical="center"/>
    </xf>
    <xf numFmtId="0" fontId="52" fillId="0" borderId="0" xfId="177" applyFont="1"/>
    <xf numFmtId="0" fontId="52" fillId="0" borderId="24" xfId="185" applyFont="1" applyBorder="1" applyAlignment="1">
      <alignment horizontal="left"/>
    </xf>
    <xf numFmtId="0" fontId="56" fillId="0" borderId="0" xfId="0" applyFont="1" applyAlignment="1">
      <alignment wrapText="1"/>
    </xf>
    <xf numFmtId="0" fontId="54" fillId="0" borderId="25" xfId="185" applyFont="1" applyBorder="1" applyAlignment="1">
      <alignment horizontal="center" vertical="center" wrapText="1"/>
    </xf>
    <xf numFmtId="0" fontId="54" fillId="0" borderId="15" xfId="185" applyFont="1" applyBorder="1" applyAlignment="1">
      <alignment horizontal="center" vertical="center" wrapText="1"/>
    </xf>
    <xf numFmtId="0" fontId="54" fillId="0" borderId="25" xfId="185" applyFont="1" applyBorder="1" applyAlignment="1">
      <alignment horizontal="left" vertical="center"/>
    </xf>
    <xf numFmtId="0" fontId="54" fillId="0" borderId="15" xfId="185" applyFont="1" applyBorder="1" applyAlignment="1">
      <alignment horizontal="left" vertical="center"/>
    </xf>
    <xf numFmtId="0" fontId="53" fillId="0" borderId="24" xfId="0" applyFont="1" applyBorder="1" applyAlignment="1">
      <alignment horizontal="left" vertical="center" wrapText="1"/>
    </xf>
    <xf numFmtId="9" fontId="55" fillId="0" borderId="14" xfId="0" applyNumberFormat="1" applyFont="1" applyBorder="1" applyAlignment="1">
      <alignment horizontal="center"/>
    </xf>
    <xf numFmtId="9" fontId="55" fillId="0" borderId="14" xfId="185" applyNumberFormat="1" applyFont="1" applyBorder="1" applyAlignment="1">
      <alignment horizontal="center" vertical="center"/>
    </xf>
    <xf numFmtId="2" fontId="55" fillId="0" borderId="14" xfId="0" applyNumberFormat="1" applyFont="1" applyBorder="1" applyAlignment="1">
      <alignment horizontal="center"/>
    </xf>
    <xf numFmtId="0" fontId="55" fillId="0" borderId="14" xfId="0" applyFont="1" applyBorder="1" applyAlignment="1">
      <alignment horizontal="center"/>
    </xf>
    <xf numFmtId="10" fontId="55" fillId="0" borderId="14" xfId="0" applyNumberFormat="1" applyFont="1" applyBorder="1" applyAlignment="1">
      <alignment horizontal="center"/>
    </xf>
    <xf numFmtId="0" fontId="55" fillId="0" borderId="14" xfId="0" applyFont="1" applyBorder="1" applyAlignment="1">
      <alignment horizontal="center" wrapText="1"/>
    </xf>
    <xf numFmtId="0" fontId="55" fillId="0" borderId="14" xfId="185" applyFont="1" applyBorder="1" applyAlignment="1">
      <alignment horizontal="center" vertical="center"/>
    </xf>
    <xf numFmtId="9" fontId="55" fillId="0" borderId="14" xfId="185" applyNumberFormat="1" applyFont="1" applyBorder="1" applyAlignment="1">
      <alignment horizontal="center"/>
    </xf>
    <xf numFmtId="0" fontId="57" fillId="0" borderId="0" xfId="182" applyFont="1" applyAlignment="1">
      <alignment horizontal="left"/>
    </xf>
    <xf numFmtId="0" fontId="55" fillId="0" borderId="0" xfId="0" applyFont="1" applyAlignment="1">
      <alignment horizontal="left"/>
    </xf>
    <xf numFmtId="0" fontId="57" fillId="0" borderId="23" xfId="185" applyFont="1" applyBorder="1" applyAlignment="1">
      <alignment horizontal="left" vertical="center" wrapText="1"/>
    </xf>
    <xf numFmtId="0" fontId="57" fillId="0" borderId="17" xfId="185" applyFont="1" applyBorder="1" applyAlignment="1">
      <alignment horizontal="left" vertical="center" wrapText="1"/>
    </xf>
    <xf numFmtId="0" fontId="55" fillId="0" borderId="17" xfId="0" applyFont="1" applyBorder="1"/>
    <xf numFmtId="0" fontId="55" fillId="0" borderId="18" xfId="0" applyFont="1" applyBorder="1"/>
    <xf numFmtId="0" fontId="57" fillId="0" borderId="23" xfId="185" applyFont="1" applyBorder="1" applyAlignment="1">
      <alignment horizontal="left"/>
    </xf>
    <xf numFmtId="0" fontId="55" fillId="0" borderId="17" xfId="0" applyFont="1" applyBorder="1" applyAlignment="1">
      <alignment horizontal="left"/>
    </xf>
    <xf numFmtId="0" fontId="55" fillId="0" borderId="18" xfId="0" applyFont="1" applyBorder="1" applyAlignment="1">
      <alignment horizontal="left"/>
    </xf>
    <xf numFmtId="0" fontId="57" fillId="0" borderId="14" xfId="185" applyFont="1" applyBorder="1" applyAlignment="1">
      <alignment horizontal="left" vertical="center" wrapText="1"/>
    </xf>
    <xf numFmtId="0" fontId="55" fillId="0" borderId="14" xfId="0" applyFont="1" applyBorder="1"/>
    <xf numFmtId="10" fontId="55" fillId="0" borderId="14" xfId="185" applyNumberFormat="1" applyFont="1" applyBorder="1" applyAlignment="1">
      <alignment horizontal="center" vertical="center"/>
    </xf>
    <xf numFmtId="0" fontId="57" fillId="0" borderId="17" xfId="185" applyFont="1" applyBorder="1" applyAlignment="1">
      <alignment horizontal="left"/>
    </xf>
    <xf numFmtId="0" fontId="55" fillId="0" borderId="14" xfId="0" applyFont="1" applyBorder="1" applyAlignment="1">
      <alignment horizontal="center" vertical="center" wrapText="1"/>
    </xf>
    <xf numFmtId="0" fontId="55" fillId="0" borderId="22" xfId="0" applyFont="1" applyBorder="1" applyAlignment="1">
      <alignment horizontal="center"/>
    </xf>
    <xf numFmtId="0" fontId="57" fillId="0" borderId="14" xfId="185" applyFont="1" applyBorder="1" applyAlignment="1">
      <alignment horizontal="center"/>
    </xf>
    <xf numFmtId="0" fontId="57" fillId="0" borderId="14" xfId="185" applyFont="1" applyBorder="1" applyAlignment="1">
      <alignment horizontal="left"/>
    </xf>
    <xf numFmtId="0" fontId="55" fillId="0" borderId="14" xfId="185" applyFont="1" applyBorder="1" applyAlignment="1">
      <alignment horizontal="left" vertical="center" wrapText="1"/>
    </xf>
    <xf numFmtId="0" fontId="55" fillId="0" borderId="14" xfId="0" applyFont="1" applyBorder="1" applyAlignment="1">
      <alignment wrapText="1"/>
    </xf>
    <xf numFmtId="0" fontId="55" fillId="0" borderId="14" xfId="185" applyFont="1" applyBorder="1" applyAlignment="1">
      <alignment horizontal="left" vertical="center"/>
    </xf>
    <xf numFmtId="0" fontId="55" fillId="0" borderId="28" xfId="185" applyFont="1" applyBorder="1" applyAlignment="1">
      <alignment horizontal="center"/>
    </xf>
    <xf numFmtId="0" fontId="55" fillId="0" borderId="29" xfId="185" applyFont="1" applyBorder="1" applyAlignment="1">
      <alignment horizontal="center"/>
    </xf>
    <xf numFmtId="0" fontId="55" fillId="0" borderId="14" xfId="185" applyFont="1" applyBorder="1"/>
    <xf numFmtId="0" fontId="57" fillId="0" borderId="20" xfId="185" applyFont="1" applyBorder="1"/>
    <xf numFmtId="0" fontId="55" fillId="0" borderId="34" xfId="0" applyFont="1" applyBorder="1"/>
    <xf numFmtId="0" fontId="55" fillId="0" borderId="14" xfId="0" applyFont="1" applyBorder="1" applyAlignment="1">
      <alignment vertical="center" wrapText="1"/>
    </xf>
    <xf numFmtId="0" fontId="55" fillId="0" borderId="30" xfId="185" applyFont="1" applyBorder="1" applyAlignment="1">
      <alignment horizontal="center"/>
    </xf>
    <xf numFmtId="0" fontId="55" fillId="0" borderId="14" xfId="185" applyFont="1" applyBorder="1" applyAlignment="1">
      <alignment horizontal="left" wrapText="1"/>
    </xf>
    <xf numFmtId="0" fontId="55" fillId="0" borderId="14" xfId="185" applyFont="1" applyBorder="1" applyAlignment="1">
      <alignment horizontal="center" vertical="center" wrapText="1"/>
    </xf>
    <xf numFmtId="0" fontId="55" fillId="0" borderId="14" xfId="185" applyFont="1" applyBorder="1" applyAlignment="1">
      <alignment vertical="center" wrapText="1"/>
    </xf>
    <xf numFmtId="0" fontId="57" fillId="0" borderId="14" xfId="185" applyFont="1" applyBorder="1" applyAlignment="1">
      <alignment horizontal="center" vertical="center" wrapText="1"/>
    </xf>
    <xf numFmtId="0" fontId="55" fillId="0" borderId="14" xfId="0" applyFont="1" applyBorder="1" applyAlignment="1">
      <alignment horizontal="left" vertical="center" wrapText="1"/>
    </xf>
    <xf numFmtId="0" fontId="57" fillId="0" borderId="28" xfId="185" applyFont="1" applyBorder="1" applyAlignment="1">
      <alignment horizontal="center"/>
    </xf>
    <xf numFmtId="0" fontId="57" fillId="0" borderId="30" xfId="185" applyFont="1" applyBorder="1" applyAlignment="1">
      <alignment horizontal="center"/>
    </xf>
    <xf numFmtId="0" fontId="55" fillId="0" borderId="20" xfId="185" applyFont="1" applyBorder="1" applyAlignment="1">
      <alignment horizontal="center" vertical="center"/>
    </xf>
    <xf numFmtId="0" fontId="55" fillId="0" borderId="0" xfId="185" applyFont="1" applyAlignment="1">
      <alignment horizontal="center" vertical="center"/>
    </xf>
    <xf numFmtId="0" fontId="55" fillId="0" borderId="28" xfId="0" applyFont="1" applyBorder="1" applyAlignment="1">
      <alignment horizontal="center" vertical="center"/>
    </xf>
    <xf numFmtId="0" fontId="55" fillId="0" borderId="29" xfId="0" applyFont="1" applyBorder="1" applyAlignment="1">
      <alignment horizontal="center" vertical="center"/>
    </xf>
    <xf numFmtId="0" fontId="55" fillId="0" borderId="30" xfId="0" applyFont="1" applyBorder="1" applyAlignment="1">
      <alignment horizontal="center" vertical="center"/>
    </xf>
    <xf numFmtId="0" fontId="57" fillId="0" borderId="23" xfId="185" applyFont="1" applyBorder="1" applyAlignment="1">
      <alignment horizontal="left" vertical="center"/>
    </xf>
    <xf numFmtId="0" fontId="57" fillId="0" borderId="17" xfId="185" applyFont="1" applyBorder="1" applyAlignment="1">
      <alignment horizontal="left" vertical="center"/>
    </xf>
    <xf numFmtId="0" fontId="55" fillId="0" borderId="23" xfId="185" applyFont="1" applyBorder="1" applyAlignment="1">
      <alignment horizontal="center"/>
    </xf>
    <xf numFmtId="0" fontId="57" fillId="0" borderId="23" xfId="185" applyFont="1" applyBorder="1" applyAlignment="1">
      <alignment horizontal="center" vertical="center" wrapText="1"/>
    </xf>
    <xf numFmtId="0" fontId="57" fillId="0" borderId="17" xfId="185" applyFont="1" applyBorder="1" applyAlignment="1">
      <alignment horizontal="center" vertical="center" wrapText="1"/>
    </xf>
    <xf numFmtId="0" fontId="55" fillId="0" borderId="14" xfId="0" applyFont="1" applyBorder="1" applyAlignment="1">
      <alignment vertical="center"/>
    </xf>
    <xf numFmtId="0" fontId="55" fillId="0" borderId="29" xfId="0" applyFont="1" applyBorder="1"/>
    <xf numFmtId="0" fontId="55" fillId="0" borderId="30" xfId="0" applyFont="1" applyBorder="1"/>
    <xf numFmtId="0" fontId="55" fillId="0" borderId="17" xfId="0" applyFont="1" applyBorder="1" applyAlignment="1">
      <alignment wrapText="1"/>
    </xf>
    <xf numFmtId="0" fontId="55" fillId="0" borderId="18" xfId="0" applyFont="1" applyBorder="1" applyAlignment="1">
      <alignment wrapText="1"/>
    </xf>
    <xf numFmtId="0" fontId="55" fillId="0" borderId="28" xfId="185" applyFont="1" applyBorder="1" applyAlignment="1">
      <alignment horizontal="right" vertical="center"/>
    </xf>
    <xf numFmtId="0" fontId="55" fillId="0" borderId="29" xfId="185" applyFont="1" applyBorder="1" applyAlignment="1">
      <alignment horizontal="right" vertical="center"/>
    </xf>
    <xf numFmtId="0" fontId="55" fillId="0" borderId="30" xfId="0" applyFont="1" applyBorder="1" applyAlignment="1">
      <alignment horizontal="right" vertical="center"/>
    </xf>
    <xf numFmtId="0" fontId="55" fillId="0" borderId="30" xfId="0" applyFont="1" applyBorder="1" applyAlignment="1">
      <alignment horizontal="center"/>
    </xf>
    <xf numFmtId="0" fontId="53" fillId="0" borderId="19" xfId="0" applyFont="1" applyBorder="1" applyAlignment="1">
      <alignment horizontal="center"/>
    </xf>
    <xf numFmtId="0" fontId="52" fillId="0" borderId="21" xfId="185" applyFont="1" applyBorder="1" applyAlignment="1">
      <alignment horizontal="center" vertical="center"/>
    </xf>
    <xf numFmtId="0" fontId="52" fillId="0" borderId="22" xfId="185" applyFont="1" applyBorder="1" applyAlignment="1">
      <alignment horizontal="center" vertical="center"/>
    </xf>
    <xf numFmtId="0" fontId="54" fillId="0" borderId="24" xfId="185" applyFont="1" applyBorder="1" applyAlignment="1">
      <alignment horizontal="left" vertical="center" wrapText="1"/>
    </xf>
    <xf numFmtId="9" fontId="52" fillId="0" borderId="40" xfId="185" applyNumberFormat="1" applyFont="1" applyBorder="1" applyAlignment="1">
      <alignment horizontal="center"/>
    </xf>
    <xf numFmtId="0" fontId="53" fillId="0" borderId="41" xfId="0" applyFont="1" applyBorder="1" applyAlignment="1">
      <alignment horizontal="center"/>
    </xf>
    <xf numFmtId="0" fontId="54" fillId="0" borderId="38" xfId="185" applyFont="1" applyBorder="1" applyAlignment="1">
      <alignment horizontal="left" vertical="center" wrapText="1"/>
    </xf>
    <xf numFmtId="0" fontId="54" fillId="0" borderId="0" xfId="185" applyFont="1" applyAlignment="1">
      <alignment horizontal="left" vertical="center" wrapText="1"/>
    </xf>
    <xf numFmtId="0" fontId="53" fillId="0" borderId="39" xfId="0" applyFont="1" applyBorder="1"/>
    <xf numFmtId="0" fontId="54" fillId="0" borderId="38" xfId="185" applyFont="1" applyBorder="1" applyAlignment="1">
      <alignment horizontal="left"/>
    </xf>
    <xf numFmtId="0" fontId="54" fillId="0" borderId="0" xfId="185" applyFont="1" applyAlignment="1">
      <alignment horizontal="left"/>
    </xf>
    <xf numFmtId="0" fontId="54" fillId="0" borderId="38" xfId="185" applyFont="1" applyBorder="1" applyAlignment="1">
      <alignment horizontal="left" wrapText="1"/>
    </xf>
    <xf numFmtId="0" fontId="53" fillId="0" borderId="0" xfId="0" applyFont="1" applyAlignment="1">
      <alignment horizontal="left"/>
    </xf>
    <xf numFmtId="0" fontId="53" fillId="0" borderId="39" xfId="0" applyFont="1" applyBorder="1" applyAlignment="1">
      <alignment horizontal="left"/>
    </xf>
    <xf numFmtId="9" fontId="55" fillId="0" borderId="28" xfId="0" applyNumberFormat="1" applyFont="1" applyBorder="1" applyAlignment="1">
      <alignment horizontal="center"/>
    </xf>
    <xf numFmtId="9" fontId="55" fillId="0" borderId="30" xfId="0" applyNumberFormat="1" applyFont="1" applyBorder="1" applyAlignment="1">
      <alignment horizontal="center"/>
    </xf>
    <xf numFmtId="0" fontId="55" fillId="0" borderId="21"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44" xfId="0" applyFont="1" applyBorder="1" applyAlignment="1">
      <alignment horizontal="center"/>
    </xf>
    <xf numFmtId="0" fontId="55" fillId="0" borderId="45" xfId="0" applyFont="1" applyBorder="1" applyAlignment="1">
      <alignment horizontal="center"/>
    </xf>
    <xf numFmtId="0" fontId="55" fillId="0" borderId="42" xfId="0" applyFont="1" applyBorder="1" applyAlignment="1">
      <alignment horizontal="center"/>
    </xf>
    <xf numFmtId="0" fontId="55" fillId="0" borderId="43" xfId="0" applyFont="1" applyBorder="1" applyAlignment="1">
      <alignment horizontal="center"/>
    </xf>
    <xf numFmtId="0" fontId="55" fillId="0" borderId="21" xfId="0" applyFont="1" applyBorder="1" applyAlignment="1">
      <alignment horizontal="center"/>
    </xf>
    <xf numFmtId="0" fontId="55" fillId="0" borderId="40" xfId="0" applyFont="1" applyBorder="1" applyAlignment="1">
      <alignment horizontal="center"/>
    </xf>
    <xf numFmtId="0" fontId="55" fillId="0" borderId="41" xfId="0" applyFont="1" applyBorder="1" applyAlignment="1">
      <alignment horizontal="center"/>
    </xf>
    <xf numFmtId="0" fontId="55" fillId="0" borderId="28" xfId="0" applyFont="1" applyBorder="1" applyAlignment="1">
      <alignment horizontal="center"/>
    </xf>
    <xf numFmtId="0" fontId="54" fillId="0" borderId="38" xfId="185" applyFont="1" applyBorder="1" applyAlignment="1">
      <alignment horizontal="left" vertical="center"/>
    </xf>
    <xf numFmtId="0" fontId="54" fillId="0" borderId="0" xfId="185" applyFont="1" applyAlignment="1">
      <alignment horizontal="left" vertical="center"/>
    </xf>
    <xf numFmtId="0" fontId="53" fillId="0" borderId="24" xfId="0" applyFont="1" applyBorder="1" applyAlignment="1">
      <alignment wrapText="1"/>
    </xf>
    <xf numFmtId="0" fontId="52" fillId="0" borderId="24" xfId="185" applyFont="1" applyBorder="1" applyAlignment="1">
      <alignment horizontal="right" vertical="center"/>
    </xf>
    <xf numFmtId="0" fontId="53" fillId="0" borderId="24" xfId="0" applyFont="1" applyBorder="1" applyAlignment="1">
      <alignment horizontal="right" vertical="center"/>
    </xf>
    <xf numFmtId="0" fontId="57" fillId="0" borderId="25" xfId="185" applyFont="1" applyBorder="1" applyAlignment="1">
      <alignment horizontal="center" vertical="center" wrapText="1"/>
    </xf>
    <xf numFmtId="0" fontId="57" fillId="0" borderId="15" xfId="185" applyFont="1" applyBorder="1" applyAlignment="1">
      <alignment horizontal="center" vertical="center" wrapText="1"/>
    </xf>
    <xf numFmtId="0" fontId="55" fillId="0" borderId="16" xfId="0" applyFont="1" applyBorder="1" applyAlignment="1">
      <alignment wrapText="1"/>
    </xf>
    <xf numFmtId="0" fontId="57" fillId="0" borderId="15" xfId="185" applyFont="1" applyBorder="1" applyAlignment="1">
      <alignment horizontal="left" vertical="center"/>
    </xf>
    <xf numFmtId="0" fontId="55" fillId="0" borderId="16" xfId="0" applyFont="1" applyBorder="1"/>
    <xf numFmtId="0" fontId="57" fillId="0" borderId="24" xfId="185" applyFont="1" applyBorder="1" applyAlignment="1">
      <alignment horizontal="left" vertical="center"/>
    </xf>
    <xf numFmtId="0" fontId="55" fillId="0" borderId="24" xfId="0" applyFont="1" applyBorder="1" applyAlignment="1">
      <alignment horizontal="center" vertical="center"/>
    </xf>
    <xf numFmtId="0" fontId="55" fillId="0" borderId="24" xfId="185" applyFont="1" applyBorder="1" applyAlignment="1">
      <alignment horizontal="left" vertical="center"/>
    </xf>
    <xf numFmtId="9" fontId="44" fillId="0" borderId="24" xfId="0" applyNumberFormat="1" applyFont="1" applyBorder="1" applyAlignment="1">
      <alignment horizontal="center"/>
    </xf>
    <xf numFmtId="9" fontId="44" fillId="0" borderId="24" xfId="185" applyNumberFormat="1" applyFont="1" applyBorder="1" applyAlignment="1">
      <alignment horizontal="center" vertical="center"/>
    </xf>
    <xf numFmtId="2" fontId="44" fillId="0" borderId="24" xfId="0" applyNumberFormat="1" applyFont="1" applyBorder="1" applyAlignment="1">
      <alignment horizontal="center"/>
    </xf>
    <xf numFmtId="10" fontId="44" fillId="0" borderId="24" xfId="0" applyNumberFormat="1" applyFont="1" applyBorder="1" applyAlignment="1">
      <alignment horizontal="center"/>
    </xf>
    <xf numFmtId="0" fontId="47" fillId="0" borderId="25" xfId="185" applyFont="1" applyBorder="1" applyAlignment="1">
      <alignment horizontal="center" vertical="center" wrapText="1"/>
    </xf>
    <xf numFmtId="0" fontId="47" fillId="0" borderId="15" xfId="185" applyFont="1" applyBorder="1" applyAlignment="1">
      <alignment horizontal="center" vertical="center" wrapText="1"/>
    </xf>
    <xf numFmtId="0" fontId="47" fillId="0" borderId="25" xfId="185" applyFont="1" applyBorder="1" applyAlignment="1">
      <alignment horizontal="left"/>
    </xf>
    <xf numFmtId="0" fontId="47" fillId="0" borderId="15" xfId="185" applyFont="1" applyBorder="1" applyAlignment="1">
      <alignment horizontal="left"/>
    </xf>
    <xf numFmtId="10" fontId="44" fillId="0" borderId="26" xfId="0" applyNumberFormat="1" applyFont="1" applyBorder="1" applyAlignment="1">
      <alignment horizontal="center"/>
    </xf>
    <xf numFmtId="0" fontId="44" fillId="0" borderId="24" xfId="0" applyFont="1" applyBorder="1" applyAlignment="1">
      <alignment horizontal="center"/>
    </xf>
    <xf numFmtId="0" fontId="44" fillId="0" borderId="24" xfId="0" applyFont="1" applyBorder="1" applyAlignment="1">
      <alignment horizontal="center" wrapText="1"/>
    </xf>
    <xf numFmtId="0" fontId="47" fillId="0" borderId="24" xfId="185" applyFont="1" applyBorder="1" applyAlignment="1">
      <alignment horizontal="left"/>
    </xf>
    <xf numFmtId="0" fontId="47" fillId="0" borderId="24" xfId="185" applyFont="1" applyBorder="1" applyAlignment="1">
      <alignment horizontal="left" vertical="center" wrapText="1"/>
    </xf>
    <xf numFmtId="0" fontId="47" fillId="0" borderId="24" xfId="185" applyFont="1" applyBorder="1" applyAlignment="1">
      <alignment horizontal="left" vertical="center"/>
    </xf>
    <xf numFmtId="0" fontId="44" fillId="0" borderId="24" xfId="185" applyFont="1" applyBorder="1" applyAlignment="1">
      <alignment horizontal="left" vertical="center" wrapText="1"/>
    </xf>
    <xf numFmtId="0" fontId="47" fillId="0" borderId="24" xfId="185" applyFont="1" applyBorder="1"/>
    <xf numFmtId="0" fontId="44" fillId="0" borderId="24" xfId="185" applyFont="1" applyBorder="1" applyAlignment="1">
      <alignment wrapText="1"/>
    </xf>
    <xf numFmtId="0" fontId="44" fillId="0" borderId="24" xfId="185" applyFont="1" applyBorder="1" applyAlignment="1">
      <alignment vertical="center" wrapText="1"/>
    </xf>
    <xf numFmtId="0" fontId="44" fillId="0" borderId="24" xfId="185" applyFont="1" applyBorder="1" applyAlignment="1">
      <alignment horizontal="center"/>
    </xf>
    <xf numFmtId="0" fontId="47" fillId="0" borderId="24" xfId="185" applyFont="1" applyBorder="1" applyAlignment="1">
      <alignment horizontal="center"/>
    </xf>
    <xf numFmtId="0" fontId="47" fillId="0" borderId="24" xfId="185" applyFont="1" applyBorder="1" applyAlignment="1">
      <alignment horizontal="center" vertical="center" wrapText="1"/>
    </xf>
    <xf numFmtId="0" fontId="44" fillId="0" borderId="26" xfId="185" applyFont="1" applyBorder="1" applyAlignment="1">
      <alignment horizontal="center"/>
    </xf>
    <xf numFmtId="10" fontId="44" fillId="0" borderId="24" xfId="185" applyNumberFormat="1" applyFont="1" applyBorder="1" applyAlignment="1">
      <alignment horizontal="center" vertical="center"/>
    </xf>
    <xf numFmtId="0" fontId="44" fillId="0" borderId="24" xfId="185" applyFont="1" applyBorder="1" applyAlignment="1">
      <alignment horizontal="left" wrapText="1"/>
    </xf>
    <xf numFmtId="0" fontId="44" fillId="0" borderId="24" xfId="185" applyFont="1" applyBorder="1" applyAlignment="1">
      <alignment horizontal="center" vertical="center" wrapText="1"/>
    </xf>
    <xf numFmtId="0" fontId="44" fillId="0" borderId="24" xfId="185" applyFont="1" applyBorder="1" applyAlignment="1">
      <alignment horizontal="center" vertical="center"/>
    </xf>
    <xf numFmtId="0" fontId="44" fillId="0" borderId="24" xfId="185" applyFont="1" applyBorder="1" applyAlignment="1">
      <alignment horizontal="left"/>
    </xf>
    <xf numFmtId="0" fontId="44" fillId="0" borderId="24" xfId="185" applyFont="1" applyBorder="1" applyAlignment="1">
      <alignment horizontal="left" vertical="center"/>
    </xf>
    <xf numFmtId="0" fontId="55" fillId="0" borderId="24" xfId="0" applyFont="1" applyBorder="1" applyAlignment="1">
      <alignment vertical="center"/>
    </xf>
    <xf numFmtId="0" fontId="47" fillId="0" borderId="25" xfId="185" applyFont="1" applyBorder="1" applyAlignment="1">
      <alignment horizontal="left" wrapText="1"/>
    </xf>
    <xf numFmtId="0" fontId="47" fillId="0" borderId="0" xfId="182" applyFont="1" applyAlignment="1">
      <alignment horizontal="center"/>
    </xf>
    <xf numFmtId="3" fontId="44" fillId="0" borderId="0" xfId="181" applyNumberFormat="1" applyFont="1" applyAlignment="1">
      <alignment horizontal="center" vertical="center" wrapText="1"/>
    </xf>
    <xf numFmtId="9" fontId="44" fillId="0" borderId="0" xfId="215" applyFont="1" applyFill="1" applyBorder="1" applyAlignment="1">
      <alignment horizontal="center" vertical="center" wrapText="1"/>
    </xf>
    <xf numFmtId="9" fontId="44" fillId="0" borderId="0" xfId="185" applyNumberFormat="1" applyFont="1" applyAlignment="1">
      <alignment horizontal="center" vertical="center"/>
    </xf>
    <xf numFmtId="0" fontId="47" fillId="0" borderId="0" xfId="177" applyFont="1" applyAlignment="1">
      <alignment horizontal="left" vertical="center"/>
    </xf>
    <xf numFmtId="0" fontId="44" fillId="0" borderId="0" xfId="177" applyFont="1"/>
    <xf numFmtId="0" fontId="47" fillId="0" borderId="24" xfId="185" applyFont="1" applyBorder="1" applyAlignment="1">
      <alignment horizontal="center" wrapText="1"/>
    </xf>
    <xf numFmtId="0" fontId="44" fillId="0" borderId="24" xfId="0" applyFont="1" applyBorder="1" applyAlignment="1">
      <alignment horizontal="left" vertical="center" wrapText="1"/>
    </xf>
    <xf numFmtId="0" fontId="46" fillId="0" borderId="24" xfId="0" applyFont="1" applyBorder="1" applyAlignment="1">
      <alignment wrapText="1"/>
    </xf>
    <xf numFmtId="9" fontId="44" fillId="0" borderId="26" xfId="185" applyNumberFormat="1" applyFont="1" applyBorder="1" applyAlignment="1">
      <alignment horizontal="center" vertical="center"/>
    </xf>
    <xf numFmtId="9" fontId="44" fillId="0" borderId="19" xfId="185" applyNumberFormat="1" applyFont="1" applyBorder="1" applyAlignment="1">
      <alignment horizontal="center" vertical="center"/>
    </xf>
    <xf numFmtId="10" fontId="44" fillId="0" borderId="19" xfId="0" applyNumberFormat="1" applyFont="1" applyBorder="1" applyAlignment="1">
      <alignment horizontal="center"/>
    </xf>
    <xf numFmtId="9" fontId="44" fillId="0" borderId="26" xfId="0" applyNumberFormat="1" applyFont="1" applyBorder="1" applyAlignment="1">
      <alignment horizontal="center"/>
    </xf>
    <xf numFmtId="9" fontId="44" fillId="0" borderId="19" xfId="0" applyNumberFormat="1" applyFont="1" applyBorder="1" applyAlignment="1">
      <alignment horizontal="center"/>
    </xf>
    <xf numFmtId="2" fontId="44" fillId="0" borderId="26" xfId="0" applyNumberFormat="1" applyFont="1" applyBorder="1" applyAlignment="1">
      <alignment horizontal="center"/>
    </xf>
    <xf numFmtId="2" fontId="44" fillId="0" borderId="19" xfId="0" applyNumberFormat="1" applyFont="1" applyBorder="1" applyAlignment="1">
      <alignment horizontal="center"/>
    </xf>
    <xf numFmtId="0" fontId="44" fillId="0" borderId="24" xfId="185" applyFont="1" applyBorder="1"/>
    <xf numFmtId="0" fontId="47" fillId="0" borderId="25" xfId="185" applyFont="1" applyBorder="1" applyAlignment="1">
      <alignment horizontal="left" vertical="center" wrapText="1"/>
    </xf>
    <xf numFmtId="0" fontId="47" fillId="0" borderId="15" xfId="185" applyFont="1" applyBorder="1" applyAlignment="1">
      <alignment horizontal="left" vertical="center" wrapText="1"/>
    </xf>
    <xf numFmtId="0" fontId="47" fillId="0" borderId="25" xfId="185" applyFont="1" applyBorder="1" applyAlignment="1">
      <alignment horizontal="left" vertical="center"/>
    </xf>
    <xf numFmtId="0" fontId="47" fillId="0" borderId="15" xfId="185" applyFont="1" applyBorder="1" applyAlignment="1">
      <alignment horizontal="left" vertical="center"/>
    </xf>
    <xf numFmtId="0" fontId="47" fillId="0" borderId="24" xfId="185" applyFont="1" applyBorder="1" applyAlignment="1">
      <alignment horizontal="center" vertical="center"/>
    </xf>
    <xf numFmtId="0" fontId="47" fillId="0" borderId="0" xfId="182" applyFont="1" applyAlignment="1">
      <alignment horizontal="left"/>
    </xf>
    <xf numFmtId="0" fontId="47" fillId="0" borderId="25" xfId="185" applyFont="1" applyBorder="1" applyAlignment="1">
      <alignment horizontal="center"/>
    </xf>
    <xf numFmtId="0" fontId="57" fillId="0" borderId="15" xfId="185" applyFont="1" applyBorder="1" applyAlignment="1">
      <alignment horizontal="left" vertical="center" wrapText="1"/>
    </xf>
    <xf numFmtId="0" fontId="55" fillId="0" borderId="0" xfId="185" applyFont="1" applyAlignment="1">
      <alignment horizontal="left" wrapText="1"/>
    </xf>
    <xf numFmtId="0" fontId="57" fillId="0" borderId="25" xfId="185" applyFont="1" applyBorder="1" applyAlignment="1">
      <alignment horizontal="left" wrapText="1"/>
    </xf>
    <xf numFmtId="0" fontId="57" fillId="0" borderId="0" xfId="177" applyFont="1" applyAlignment="1">
      <alignment horizontal="left" vertical="center" wrapText="1"/>
    </xf>
    <xf numFmtId="0" fontId="55" fillId="0" borderId="24" xfId="185" applyFont="1" applyBorder="1" applyAlignment="1">
      <alignment horizontal="right" vertical="center"/>
    </xf>
    <xf numFmtId="0" fontId="55" fillId="0" borderId="24" xfId="0" applyFont="1" applyBorder="1" applyAlignment="1">
      <alignment horizontal="right" vertical="center"/>
    </xf>
    <xf numFmtId="0" fontId="55" fillId="0" borderId="24" xfId="185" applyFont="1" applyBorder="1"/>
    <xf numFmtId="9" fontId="55" fillId="0" borderId="24" xfId="185" applyNumberFormat="1" applyFont="1" applyBorder="1" applyAlignment="1">
      <alignment horizontal="center" wrapText="1"/>
    </xf>
    <xf numFmtId="9" fontId="55" fillId="0" borderId="24" xfId="0" applyNumberFormat="1" applyFont="1" applyBorder="1" applyAlignment="1">
      <alignment horizontal="center" wrapText="1"/>
    </xf>
    <xf numFmtId="165" fontId="55" fillId="0" borderId="24" xfId="0" applyNumberFormat="1" applyFont="1" applyBorder="1" applyAlignment="1">
      <alignment horizontal="center"/>
    </xf>
    <xf numFmtId="0" fontId="57" fillId="0" borderId="24" xfId="185" applyFont="1" applyBorder="1" applyAlignment="1">
      <alignment horizontal="center" vertical="center"/>
    </xf>
    <xf numFmtId="2" fontId="55" fillId="0" borderId="26" xfId="0" applyNumberFormat="1" applyFont="1" applyBorder="1" applyAlignment="1">
      <alignment horizontal="center"/>
    </xf>
    <xf numFmtId="0" fontId="55" fillId="0" borderId="32" xfId="185" applyFont="1" applyBorder="1" applyAlignment="1">
      <alignment horizontal="center"/>
    </xf>
    <xf numFmtId="0" fontId="55" fillId="0" borderId="27" xfId="185" applyFont="1" applyBorder="1" applyAlignment="1">
      <alignment horizontal="center"/>
    </xf>
    <xf numFmtId="0" fontId="55" fillId="0" borderId="31" xfId="185" applyFont="1" applyBorder="1" applyAlignment="1">
      <alignment horizontal="center"/>
    </xf>
    <xf numFmtId="0" fontId="55" fillId="0" borderId="23" xfId="185" applyFont="1" applyBorder="1" applyAlignment="1">
      <alignment horizontal="center" vertical="center"/>
    </xf>
    <xf numFmtId="0" fontId="45" fillId="0" borderId="25" xfId="185" applyFont="1" applyBorder="1" applyAlignment="1">
      <alignment horizontal="left" vertical="center"/>
    </xf>
    <xf numFmtId="0" fontId="45" fillId="0" borderId="15" xfId="185" applyFont="1" applyBorder="1" applyAlignment="1">
      <alignment horizontal="left" vertical="center"/>
    </xf>
    <xf numFmtId="0" fontId="46" fillId="0" borderId="24" xfId="185" applyFont="1" applyBorder="1" applyAlignment="1">
      <alignment horizontal="center" vertical="center" wrapText="1"/>
    </xf>
    <xf numFmtId="0" fontId="45" fillId="0" borderId="24" xfId="185" applyFont="1" applyBorder="1" applyAlignment="1">
      <alignment horizontal="left" vertical="center" wrapText="1"/>
    </xf>
    <xf numFmtId="0" fontId="46" fillId="0" borderId="24" xfId="185" applyFont="1" applyBorder="1" applyAlignment="1">
      <alignment vertical="center" wrapText="1"/>
    </xf>
    <xf numFmtId="0" fontId="46" fillId="0" borderId="24" xfId="185" applyFont="1" applyBorder="1" applyAlignment="1">
      <alignment horizontal="left" vertical="center" wrapText="1"/>
    </xf>
    <xf numFmtId="0" fontId="45" fillId="0" borderId="24" xfId="185" applyFont="1" applyBorder="1"/>
    <xf numFmtId="0" fontId="46" fillId="0" borderId="24" xfId="185" applyFont="1" applyBorder="1" applyAlignment="1">
      <alignment wrapText="1"/>
    </xf>
    <xf numFmtId="0" fontId="46" fillId="0" borderId="24" xfId="185" applyFont="1" applyBorder="1" applyAlignment="1">
      <alignment horizontal="center"/>
    </xf>
    <xf numFmtId="0" fontId="46" fillId="0" borderId="24" xfId="185" applyFont="1" applyBorder="1" applyAlignment="1">
      <alignment horizontal="center" vertical="center"/>
    </xf>
    <xf numFmtId="0" fontId="45" fillId="0" borderId="24" xfId="185" applyFont="1" applyBorder="1" applyAlignment="1">
      <alignment horizontal="center"/>
    </xf>
    <xf numFmtId="0" fontId="45" fillId="0" borderId="24" xfId="185" applyFont="1" applyBorder="1" applyAlignment="1">
      <alignment horizontal="center" vertical="center" wrapText="1"/>
    </xf>
    <xf numFmtId="0" fontId="45" fillId="0" borderId="24" xfId="185" applyFont="1" applyBorder="1" applyAlignment="1">
      <alignment horizontal="center" wrapText="1"/>
    </xf>
    <xf numFmtId="0" fontId="46" fillId="0" borderId="24" xfId="185" applyFont="1" applyBorder="1" applyAlignment="1">
      <alignment horizontal="left" wrapText="1"/>
    </xf>
    <xf numFmtId="0" fontId="46" fillId="0" borderId="24" xfId="0" applyFont="1" applyBorder="1" applyAlignment="1">
      <alignment horizontal="left" vertical="center" wrapText="1"/>
    </xf>
    <xf numFmtId="0" fontId="46" fillId="0" borderId="24" xfId="185" applyFont="1" applyBorder="1" applyAlignment="1">
      <alignment horizontal="left" vertical="center"/>
    </xf>
    <xf numFmtId="0" fontId="45" fillId="0" borderId="25" xfId="185" applyFont="1" applyBorder="1" applyAlignment="1">
      <alignment horizontal="left"/>
    </xf>
    <xf numFmtId="0" fontId="45" fillId="0" borderId="15" xfId="185" applyFont="1" applyBorder="1" applyAlignment="1">
      <alignment horizontal="left"/>
    </xf>
    <xf numFmtId="0" fontId="46" fillId="0" borderId="24" xfId="185" applyFont="1" applyBorder="1" applyAlignment="1">
      <alignment horizontal="left"/>
    </xf>
    <xf numFmtId="0" fontId="45" fillId="0" borderId="24" xfId="185" applyFont="1" applyBorder="1" applyAlignment="1">
      <alignment horizontal="left"/>
    </xf>
    <xf numFmtId="0" fontId="45" fillId="0" borderId="24" xfId="185" applyFont="1" applyBorder="1" applyAlignment="1">
      <alignment horizontal="left" vertical="center"/>
    </xf>
    <xf numFmtId="0" fontId="45" fillId="0" borderId="25" xfId="185" applyFont="1" applyBorder="1" applyAlignment="1">
      <alignment horizontal="left" vertical="center" wrapText="1"/>
    </xf>
    <xf numFmtId="0" fontId="45" fillId="0" borderId="15" xfId="185" applyFont="1" applyBorder="1" applyAlignment="1">
      <alignment horizontal="left" vertical="center" wrapText="1"/>
    </xf>
    <xf numFmtId="0" fontId="46" fillId="0" borderId="24" xfId="185" applyFont="1" applyBorder="1" applyAlignment="1">
      <alignment horizontal="center" wrapText="1"/>
    </xf>
    <xf numFmtId="0" fontId="45" fillId="0" borderId="24" xfId="185" applyFont="1" applyBorder="1" applyAlignment="1">
      <alignment horizontal="center" vertical="center"/>
    </xf>
    <xf numFmtId="3" fontId="55" fillId="0" borderId="0" xfId="181" applyNumberFormat="1" applyFont="1" applyAlignment="1">
      <alignment horizontal="center" vertical="center" wrapText="1"/>
    </xf>
    <xf numFmtId="9" fontId="55" fillId="0" borderId="0" xfId="215" applyFont="1" applyFill="1" applyBorder="1" applyAlignment="1">
      <alignment horizontal="center" vertical="center" wrapText="1"/>
    </xf>
    <xf numFmtId="0" fontId="57" fillId="0" borderId="24" xfId="185" applyFont="1" applyBorder="1" applyAlignment="1">
      <alignment horizontal="center" vertical="top"/>
    </xf>
    <xf numFmtId="0" fontId="55" fillId="0" borderId="24" xfId="185" applyFont="1" applyBorder="1" applyAlignment="1">
      <alignment vertical="center"/>
    </xf>
    <xf numFmtId="0" fontId="55" fillId="0" borderId="24" xfId="0" applyFont="1" applyBorder="1" applyAlignment="1">
      <alignment horizontal="left" vertical="center"/>
    </xf>
    <xf numFmtId="0" fontId="44" fillId="0" borderId="24" xfId="185" applyFont="1" applyBorder="1" applyAlignment="1">
      <alignment horizontal="right" vertical="center"/>
    </xf>
    <xf numFmtId="0" fontId="46" fillId="0" borderId="24" xfId="0" applyFont="1" applyBorder="1"/>
    <xf numFmtId="0" fontId="44" fillId="0" borderId="24" xfId="185" applyFont="1" applyBorder="1" applyAlignment="1">
      <alignment vertical="center"/>
    </xf>
  </cellXfs>
  <cellStyles count="238">
    <cellStyle name="20% - Accent1 2" xfId="1" xr:uid="{455A6A3A-EDEA-46BA-B7DA-7A28B829D52E}"/>
    <cellStyle name="20% - Accent1 2 2" xfId="2" xr:uid="{4E8A89F8-491F-46EC-9F5C-93F21BA1BA11}"/>
    <cellStyle name="20% - Accent2 2" xfId="3" xr:uid="{B6A56017-0DF4-4B8E-826B-2F8DBB855C8B}"/>
    <cellStyle name="20% - Accent2 2 2" xfId="4" xr:uid="{BFEFD545-9EDD-44CF-91E2-3FE7AE06230A}"/>
    <cellStyle name="20% - Accent3 2" xfId="5" xr:uid="{C8CE2FD3-593F-4B05-BFEE-BF32901CF1E0}"/>
    <cellStyle name="20% - Accent3 2 2" xfId="6" xr:uid="{03F0C8EF-DE5F-4FAF-BDD4-684341958A4C}"/>
    <cellStyle name="20% - Accent4 2" xfId="7" xr:uid="{7A0C8822-1165-4143-A19B-0ADD03CB7F3B}"/>
    <cellStyle name="20% - Accent4 2 2" xfId="8" xr:uid="{DD55A939-0B49-4924-A2E2-7A170AFB69E0}"/>
    <cellStyle name="20% - Accent5 2" xfId="9" xr:uid="{68889237-6DFF-4B39-A0FD-B342CAD44FDB}"/>
    <cellStyle name="20% - Accent5 2 2" xfId="10" xr:uid="{71956C54-BD24-4FEF-9C92-6A11447DC140}"/>
    <cellStyle name="20% - Accent6 2" xfId="11" xr:uid="{29B9ACCE-028B-447D-AD67-DD2C7F0AF0F2}"/>
    <cellStyle name="20% - Accent6 2 2" xfId="12" xr:uid="{72E1F947-C7E4-45D1-BB0A-64712751E3BF}"/>
    <cellStyle name="20% - Akzent1" xfId="13" xr:uid="{DDFACF15-AC9C-456C-AA3C-1E7EEB36F970}"/>
    <cellStyle name="20% - Akzent1 2" xfId="14" xr:uid="{56CEF057-F598-4F4B-897B-D7776720D799}"/>
    <cellStyle name="20% - Akzent2" xfId="15" xr:uid="{79D64D28-F238-4263-9DF0-CE60B4FC61C3}"/>
    <cellStyle name="20% - Akzent2 2" xfId="16" xr:uid="{E7D7AB98-5296-4569-BA37-09C2920D990A}"/>
    <cellStyle name="20% - Akzent3" xfId="17" xr:uid="{22C1C9FF-7CB7-4965-8511-26A48B7C18AB}"/>
    <cellStyle name="20% - Akzent3 2" xfId="18" xr:uid="{8EE1B5D2-5F58-47B3-AD1E-587E288963D7}"/>
    <cellStyle name="20% - Akzent4" xfId="19" xr:uid="{130367E6-6237-49E6-BBAF-0FCCA25AB071}"/>
    <cellStyle name="20% - Akzent4 2" xfId="20" xr:uid="{900AACDA-8B8A-4B79-9354-1BD7F99B503F}"/>
    <cellStyle name="20% - Akzent5" xfId="21" xr:uid="{9F3CF389-66EF-4476-823B-C0622DC87CA3}"/>
    <cellStyle name="20% - Akzent5 2" xfId="22" xr:uid="{79AD738A-ED1B-4C26-B4D5-14E5D22D3849}"/>
    <cellStyle name="20% - Akzent6" xfId="23" xr:uid="{8E618940-5D0C-4B63-AE7D-205E32891A34}"/>
    <cellStyle name="20% - Akzent6 2" xfId="24" xr:uid="{12407DDD-26A1-40D2-88D0-3CDA5F9A45C1}"/>
    <cellStyle name="40% - Accent1 2" xfId="25" xr:uid="{DAD9F0BE-E9AA-4A5D-AC45-CED4A515BE12}"/>
    <cellStyle name="40% - Accent1 2 2" xfId="26" xr:uid="{44F2C4BC-71C0-43E1-BE18-6B405FCF9DA3}"/>
    <cellStyle name="40% - Accent2 2" xfId="27" xr:uid="{B57FC46E-BEAD-4D3C-BE98-9F8E86169F93}"/>
    <cellStyle name="40% - Accent2 2 2" xfId="28" xr:uid="{FA1C4DB2-A9C6-4A1D-B7FA-349B42C53462}"/>
    <cellStyle name="40% - Accent3 2" xfId="29" xr:uid="{74AB3C1F-A7F8-494E-8158-7559FD12A058}"/>
    <cellStyle name="40% - Accent3 2 2" xfId="30" xr:uid="{D9EE7375-AD59-4415-8F5A-8AEF857C23F4}"/>
    <cellStyle name="40% - Accent4 2" xfId="31" xr:uid="{550F59BF-F616-40BE-B719-2332B576C547}"/>
    <cellStyle name="40% - Accent4 2 2" xfId="32" xr:uid="{4C4FEE07-5555-44E5-8F8F-A5B72FA1D0F7}"/>
    <cellStyle name="40% - Accent5 2" xfId="33" xr:uid="{1DD0606C-072D-4A68-9697-D88B3BA2CC7E}"/>
    <cellStyle name="40% - Accent5 2 2" xfId="34" xr:uid="{AE9CA560-97F6-4221-9829-497DCBBB1946}"/>
    <cellStyle name="40% - Accent6 2" xfId="35" xr:uid="{E550ADBE-85D0-47FE-A566-D0C468158730}"/>
    <cellStyle name="40% - Accent6 2 2" xfId="36" xr:uid="{B0556209-77B1-49E9-8AF4-60317C08075F}"/>
    <cellStyle name="40% - Akzent1" xfId="37" xr:uid="{3FB7725B-C5EC-45DE-B361-C31943B9BF0B}"/>
    <cellStyle name="40% - Akzent1 2" xfId="38" xr:uid="{636C3733-5397-4AF7-8FC3-89E44C71AF9A}"/>
    <cellStyle name="40% - Akzent2" xfId="39" xr:uid="{B2D19891-DEEB-4D19-ADB7-3E2920420B9E}"/>
    <cellStyle name="40% - Akzent2 2" xfId="40" xr:uid="{5B190CAD-568C-4552-BB52-68B6767510E6}"/>
    <cellStyle name="40% - Akzent3" xfId="41" xr:uid="{1EE8910A-1BAC-46C8-BB38-4FFC1B8B0815}"/>
    <cellStyle name="40% - Akzent3 2" xfId="42" xr:uid="{D0A03376-68A0-41D4-88D2-3C15C7E68323}"/>
    <cellStyle name="40% - Akzent4" xfId="43" xr:uid="{4F969FEB-894F-4CBB-9B2E-415F4C93B3F4}"/>
    <cellStyle name="40% - Akzent4 2" xfId="44" xr:uid="{C64A5398-1B36-457F-871B-46B8A3F70DD8}"/>
    <cellStyle name="40% - Akzent5" xfId="45" xr:uid="{D1913FA7-C8A8-456D-B121-FB3A520A3999}"/>
    <cellStyle name="40% - Akzent5 2" xfId="46" xr:uid="{A418C3A4-EC4F-4711-A5DB-015720C9D5F9}"/>
    <cellStyle name="40% - Akzent6" xfId="47" xr:uid="{55B5EF26-411D-4C1D-BD32-330C74CA827D}"/>
    <cellStyle name="40% - Akzent6 2" xfId="48" xr:uid="{AE1F9F77-F08C-411B-BA14-BBDBE6A7D08D}"/>
    <cellStyle name="60% - Accent1 2" xfId="49" xr:uid="{34C67D41-581A-4BFE-AAF8-88989E40B715}"/>
    <cellStyle name="60% - Accent1 2 2" xfId="50" xr:uid="{4EDA5BAF-8150-457C-A58D-49731A80A958}"/>
    <cellStyle name="60% - Accent2 2" xfId="51" xr:uid="{961B8F77-C3D1-47C3-A3FA-17D855C146AB}"/>
    <cellStyle name="60% - Accent2 2 2" xfId="52" xr:uid="{3D77976D-7500-43F4-B576-A3B5B5B889F8}"/>
    <cellStyle name="60% - Accent3 2" xfId="53" xr:uid="{36D811F6-25C3-4C51-8714-65A982146F39}"/>
    <cellStyle name="60% - Accent3 2 2" xfId="54" xr:uid="{6DB65346-6E9B-444C-87F9-58A0511E9832}"/>
    <cellStyle name="60% - Accent4 2" xfId="55" xr:uid="{E1B2096D-5958-45AE-95F7-8C43F4AFC77C}"/>
    <cellStyle name="60% - Accent4 2 2" xfId="56" xr:uid="{EC3A56F8-EB7F-417E-82EF-06A7E5D31170}"/>
    <cellStyle name="60% - Accent5 2" xfId="57" xr:uid="{09E72355-CB56-4C61-9FB1-5E94D0F70575}"/>
    <cellStyle name="60% - Accent5 2 2" xfId="58" xr:uid="{5E7C9E29-B868-41BD-A43E-AF3647C2CEA6}"/>
    <cellStyle name="60% - Accent6 2" xfId="59" xr:uid="{39E87509-C329-4F99-8188-65B9CA39732D}"/>
    <cellStyle name="60% - Accent6 2 2" xfId="60" xr:uid="{B0AFCE0B-FE2C-4271-8DDA-796AE7651BC3}"/>
    <cellStyle name="60% - Akzent1" xfId="61" xr:uid="{4CA2F95D-B2B7-4C23-8DAF-88DC506FE13E}"/>
    <cellStyle name="60% - Akzent2" xfId="62" xr:uid="{0FF31EDC-FFE2-461B-B6C6-2673580C1D9E}"/>
    <cellStyle name="60% - Akzent3" xfId="63" xr:uid="{897F2EBD-0BB4-406A-B4FA-3C59E09EF9CC}"/>
    <cellStyle name="60% - Akzent4" xfId="64" xr:uid="{BB421B5A-EA5B-45EA-B03C-D829AEF05A3E}"/>
    <cellStyle name="60% - Akzent5" xfId="65" xr:uid="{A61F3B1C-DB88-4BCC-A815-C58353D88057}"/>
    <cellStyle name="60% - Akzent6" xfId="66" xr:uid="{638D9BD5-4167-4299-BACF-9516D0D5E7A0}"/>
    <cellStyle name="Accent1 - 20%" xfId="67" xr:uid="{65C34692-0C47-4FAC-8048-2ECE27B139E3}"/>
    <cellStyle name="Accent1 - 20% 2" xfId="68" xr:uid="{C8371885-A81C-448E-ACA0-261396CED6FA}"/>
    <cellStyle name="Accent1 - 40%" xfId="69" xr:uid="{50B5E66A-6373-43EA-82EC-0AE8414FC799}"/>
    <cellStyle name="Accent1 - 40% 2" xfId="70" xr:uid="{5CAA7598-610D-42C2-AE48-5A0700E2088E}"/>
    <cellStyle name="Accent1 - 60%" xfId="71" xr:uid="{AA06555D-C857-4898-ACEE-A12D6118375E}"/>
    <cellStyle name="Accent1 2" xfId="72" xr:uid="{DF72E4EA-F580-4FE0-B367-98CF323D8AA7}"/>
    <cellStyle name="Accent1 2 2" xfId="73" xr:uid="{A3199023-AC52-4856-A24C-F56EAF52DC38}"/>
    <cellStyle name="Accent1 3" xfId="74" xr:uid="{8100559A-5216-41AA-87E5-C052B8BDBE0A}"/>
    <cellStyle name="Accent2 - 20%" xfId="75" xr:uid="{21E4321A-E6B6-4C4C-B2E0-57D59C1273E9}"/>
    <cellStyle name="Accent2 - 20% 2" xfId="76" xr:uid="{5CF3930B-EA03-4896-A123-066FBA0BD85E}"/>
    <cellStyle name="Accent2 - 40%" xfId="77" xr:uid="{D5594880-E6D6-4476-BF4E-5DF3DBB98AD4}"/>
    <cellStyle name="Accent2 - 40% 2" xfId="78" xr:uid="{A0CCECE3-94C8-4BBB-8FCA-E376B140E32E}"/>
    <cellStyle name="Accent2 - 60%" xfId="79" xr:uid="{FCAF559A-9D58-46A4-8D71-31A6817C1EFC}"/>
    <cellStyle name="Accent2 2" xfId="80" xr:uid="{CD6B127E-FAC1-49B2-AED9-16A802B2A8AB}"/>
    <cellStyle name="Accent2 2 2" xfId="81" xr:uid="{4DB316F8-D425-44B6-A556-5A34FF65FDE5}"/>
    <cellStyle name="Accent2 3" xfId="82" xr:uid="{C2F303CA-E4FF-48D2-9BF0-8C7292909093}"/>
    <cellStyle name="Accent3 - 20%" xfId="83" xr:uid="{E26EDD69-283A-457D-84A3-F26E91002B0F}"/>
    <cellStyle name="Accent3 - 20% 2" xfId="84" xr:uid="{AC47BD0A-452B-4BCF-959B-D8329C7708A5}"/>
    <cellStyle name="Accent3 - 40%" xfId="85" xr:uid="{79656747-615C-4F97-9A74-F378F9AC7329}"/>
    <cellStyle name="Accent3 - 40% 2" xfId="86" xr:uid="{208788BD-D154-4A4D-8649-84C92AFB29CD}"/>
    <cellStyle name="Accent3 - 60%" xfId="87" xr:uid="{6A416740-8F7E-4730-A72D-C49538C8BB6C}"/>
    <cellStyle name="Accent3 2" xfId="88" xr:uid="{6C15B941-27AE-4861-B92F-84E50849792D}"/>
    <cellStyle name="Accent3 2 2" xfId="89" xr:uid="{6DFD0DC1-D73C-43BE-9C20-86884658C1E3}"/>
    <cellStyle name="Accent3 3" xfId="90" xr:uid="{4C2261EB-A5AC-41B0-89C7-8F0CB946A8A0}"/>
    <cellStyle name="Accent4 - 20%" xfId="91" xr:uid="{DD9B13BC-BCA5-4E38-9519-69427DA73FEB}"/>
    <cellStyle name="Accent4 - 20% 2" xfId="92" xr:uid="{9D7ABE08-BDEC-4459-BF85-47CEF4686111}"/>
    <cellStyle name="Accent4 - 40%" xfId="93" xr:uid="{6514192A-6E19-4560-A406-50A7F0977D48}"/>
    <cellStyle name="Accent4 - 40% 2" xfId="94" xr:uid="{C2BFA4DC-5DB6-4B53-AA21-3CF1F23868C7}"/>
    <cellStyle name="Accent4 - 60%" xfId="95" xr:uid="{CAAC4E62-EA2C-40DE-AC81-28AC1FBC7387}"/>
    <cellStyle name="Accent4 2" xfId="96" xr:uid="{13AB05C2-BA4C-4F51-A84F-A66D47208F92}"/>
    <cellStyle name="Accent4 2 2" xfId="97" xr:uid="{EC71F099-AE5A-41E6-8A77-2BC244AD7772}"/>
    <cellStyle name="Accent4 3" xfId="98" xr:uid="{699798A7-0F39-4FDD-8442-AFA9E6A4BD40}"/>
    <cellStyle name="Accent5 - 20%" xfId="99" xr:uid="{8BCD3BFF-F28D-49A1-B389-4E6E231CA13D}"/>
    <cellStyle name="Accent5 - 20% 2" xfId="100" xr:uid="{40FE1A01-D0E0-4116-90A3-116B6487B1E0}"/>
    <cellStyle name="Accent5 - 40%" xfId="101" xr:uid="{ACD1E380-2B88-41CB-A3AD-A884F95BCCE1}"/>
    <cellStyle name="Accent5 - 40% 2" xfId="102" xr:uid="{02A0C922-B41D-410E-82B6-DE8E8E2714D6}"/>
    <cellStyle name="Accent5 - 60%" xfId="103" xr:uid="{55786DC5-F326-4962-AAFB-021B86371D77}"/>
    <cellStyle name="Accent5 2" xfId="104" xr:uid="{31D1B248-1132-4FA5-ADD0-B683E3A8F174}"/>
    <cellStyle name="Accent5 2 2" xfId="105" xr:uid="{92E3D3E7-1571-4812-BE23-27211E43CCFB}"/>
    <cellStyle name="Accent5 3" xfId="106" xr:uid="{0CA577DB-9BBD-4464-A4A9-3DAFAB8901DF}"/>
    <cellStyle name="Accent6 - 20%" xfId="107" xr:uid="{75E6AE3B-F672-4C52-B2AB-36CBD395C8DC}"/>
    <cellStyle name="Accent6 - 20% 2" xfId="108" xr:uid="{E524F391-7EBE-4CB8-A543-34B441F67BC0}"/>
    <cellStyle name="Accent6 - 40%" xfId="109" xr:uid="{1BE5FCB4-0BB4-4BA8-B715-9860648685CD}"/>
    <cellStyle name="Accent6 - 40% 2" xfId="110" xr:uid="{B9D3D6A4-5047-48D4-8F39-0B2075600938}"/>
    <cellStyle name="Accent6 - 60%" xfId="111" xr:uid="{244284E9-1F2E-441C-B94F-4BC9EB27EB16}"/>
    <cellStyle name="Accent6 2" xfId="112" xr:uid="{2E989068-062F-4B18-8AEF-838872963925}"/>
    <cellStyle name="Accent6 2 2" xfId="113" xr:uid="{A35EB68A-03D0-44CB-AC25-55A9A91B4894}"/>
    <cellStyle name="Accent6 3" xfId="114" xr:uid="{52CADEE9-03BC-40D8-88D1-C31ECD4D59CF}"/>
    <cellStyle name="Akzent1" xfId="115" xr:uid="{278CAC81-346B-4C63-A667-425D2DF70B51}"/>
    <cellStyle name="Akzent2" xfId="116" xr:uid="{FF6C76AA-C787-4557-B66F-545853951B44}"/>
    <cellStyle name="Akzent3" xfId="117" xr:uid="{44D15761-1534-4742-807E-5615A38656F0}"/>
    <cellStyle name="Akzent4" xfId="118" xr:uid="{64D766C4-EA37-4CF7-9104-9BF4026D11D1}"/>
    <cellStyle name="Akzent5" xfId="119" xr:uid="{1EA911AE-8678-4145-9DF1-6CF67D10CE97}"/>
    <cellStyle name="Akzent6" xfId="120" xr:uid="{9E35FFEC-6351-47FF-A9AA-054484F91350}"/>
    <cellStyle name="Ausgabe" xfId="121" xr:uid="{2C032392-2DEA-49C1-840D-23A755E4D145}"/>
    <cellStyle name="Ausgabe 2" xfId="122" xr:uid="{90A17EF0-B7C9-49CF-AF4C-26DFC2CF3876}"/>
    <cellStyle name="Bad 2" xfId="123" xr:uid="{A49B032C-E522-4412-B9A1-978E23C7C9C3}"/>
    <cellStyle name="Bad 2 2" xfId="124" xr:uid="{C196B5DF-F59A-4FEB-A561-CE24480269CA}"/>
    <cellStyle name="Berechnung" xfId="125" xr:uid="{78D8A3E8-9FEC-4458-8C7C-A7653361AEAA}"/>
    <cellStyle name="Berechnung 2" xfId="126" xr:uid="{BD230104-A423-42EF-9DB2-9058D5860498}"/>
    <cellStyle name="Calculation 2" xfId="127" xr:uid="{639E341B-8378-4A02-A0FD-4102D939062D}"/>
    <cellStyle name="Calculation 2 2" xfId="128" xr:uid="{68AE72DD-0415-47F7-86C0-2A6905843FED}"/>
    <cellStyle name="Calculation 2 3" xfId="129" xr:uid="{CC31E322-3451-4D94-B744-2EB183D8DFA7}"/>
    <cellStyle name="Check Cell 2" xfId="130" xr:uid="{8594FC61-D0C9-4067-B3CB-9A7F7D443C92}"/>
    <cellStyle name="Check Cell 2 2" xfId="131" xr:uid="{1463C0DE-716D-44B1-AE8C-20F2CCF777FD}"/>
    <cellStyle name="Comma 2" xfId="132" xr:uid="{9E8E4B65-A45B-4C0C-BD99-A68DF93522EF}"/>
    <cellStyle name="Comma 2 2" xfId="133" xr:uid="{F8D6F030-AFB1-4A10-AF3F-01BEAB2C12E6}"/>
    <cellStyle name="Comma 3" xfId="134" xr:uid="{945CD651-1113-41B9-95D9-1F165793DB43}"/>
    <cellStyle name="Comma 3 2" xfId="135" xr:uid="{5B326EAD-881C-4835-B653-1F6EE6B99380}"/>
    <cellStyle name="Comma 4" xfId="136" xr:uid="{20E286B6-378A-4548-BA02-8C6C216D7843}"/>
    <cellStyle name="Eingabe" xfId="137" xr:uid="{DE8B31F1-D161-4865-B0B6-873A6EFB979A}"/>
    <cellStyle name="Eingabe 2" xfId="138" xr:uid="{EB4BEB2A-628B-48F6-BC02-1CCA1673E6E8}"/>
    <cellStyle name="Emphasis 1" xfId="139" xr:uid="{62DEF89A-AE43-4808-AAAC-497D07F4B536}"/>
    <cellStyle name="Emphasis 2" xfId="140" xr:uid="{D3EEE2F5-9FCE-4E91-A3BB-CE48B9FD04DA}"/>
    <cellStyle name="Emphasis 3" xfId="141" xr:uid="{CB11E73B-3C82-424E-85DD-16F305777F17}"/>
    <cellStyle name="Ergebnis" xfId="142" xr:uid="{24BAEE0C-1A2D-490E-BBAD-5A4DA385BF8F}"/>
    <cellStyle name="Ergebnis 2" xfId="143" xr:uid="{AE2C0276-2323-4684-8F30-55ED03EA5514}"/>
    <cellStyle name="Erklärender Text" xfId="144" xr:uid="{50F5F59C-C6A4-48B9-879D-8B2573C9179A}"/>
    <cellStyle name="Euro" xfId="145" xr:uid="{B40611CB-FBBE-4916-8E57-C768771758C5}"/>
    <cellStyle name="Explanatory Text 2" xfId="146" xr:uid="{EBCEC6F8-17FC-45EC-A884-E3B57BA1DC63}"/>
    <cellStyle name="Explanatory Text 2 2" xfId="147" xr:uid="{CDC3278D-51ED-4899-B0CF-5DD38B84BFF4}"/>
    <cellStyle name="Good 2" xfId="148" xr:uid="{C62E8690-82D5-4F46-80D9-BBE81EAA05F6}"/>
    <cellStyle name="Good 2 2" xfId="149" xr:uid="{F80E3C29-409E-458B-B1A1-952E1D9DE7A9}"/>
    <cellStyle name="Gut" xfId="150" xr:uid="{B33A7D7A-3A13-4315-A741-926CE288AB64}"/>
    <cellStyle name="Heading 1 2" xfId="151" xr:uid="{412027D2-7A3E-4469-8ABE-72943629FFB4}"/>
    <cellStyle name="Heading 1 2 2" xfId="152" xr:uid="{D520F5A7-0F60-4CCF-B4C4-C9710A8F0940}"/>
    <cellStyle name="Heading 2 2" xfId="153" xr:uid="{D8C0A254-85C2-4C9E-AF0E-D520991B1969}"/>
    <cellStyle name="Heading 2 2 2" xfId="154" xr:uid="{9B56B264-B0C9-4B1B-96A1-CE210984F878}"/>
    <cellStyle name="Heading 3 2" xfId="155" xr:uid="{8354E6E4-F1D7-4988-ABA1-2418AED787E3}"/>
    <cellStyle name="Heading 3 2 2" xfId="156" xr:uid="{E685B2F3-3141-4394-AA04-03179AD742AE}"/>
    <cellStyle name="Heading 4 2" xfId="157" xr:uid="{4B25DE7A-EAC6-43A4-95BB-C00EEC3F6969}"/>
    <cellStyle name="Heading 4 2 2" xfId="158" xr:uid="{7D2D14B8-9F5C-4C7A-8444-D164ED31DE97}"/>
    <cellStyle name="Input 2" xfId="159" xr:uid="{F4ECA09F-C442-48A6-A391-04D857340FD4}"/>
    <cellStyle name="Input 2 2" xfId="160" xr:uid="{C7DC6A27-22F7-4161-89AB-9B9FB7E14538}"/>
    <cellStyle name="Input 2 3" xfId="161" xr:uid="{B6CFF7C6-679F-4F35-B3C5-972F60C457EC}"/>
    <cellStyle name="Linked Cell 2" xfId="162" xr:uid="{4EC24F60-FA28-405B-9D2E-68E1D5F88A52}"/>
    <cellStyle name="Linked Cell 2 2" xfId="163" xr:uid="{C09D314B-8474-4066-9095-AE158851163D}"/>
    <cellStyle name="Neutral 2" xfId="164" xr:uid="{BC7663C4-A6D8-4717-A4EB-A2907921B40E}"/>
    <cellStyle name="Neutral 2 2" xfId="165" xr:uid="{927281C3-0A7B-43E1-B9FA-D0E9507DE89E}"/>
    <cellStyle name="Normal" xfId="0" builtinId="0"/>
    <cellStyle name="Normal 10" xfId="166" xr:uid="{0541EF35-8559-4AD2-BBFE-C2FBF9ABE04C}"/>
    <cellStyle name="Normal 10 2" xfId="167" xr:uid="{E4782BD4-1B8B-4959-86AD-B2DCC88F740E}"/>
    <cellStyle name="Normal 10 3" xfId="168" xr:uid="{A667D8D9-30B2-4EC0-880B-773ED3CA3C6F}"/>
    <cellStyle name="Normal 11" xfId="169" xr:uid="{02460912-FC6A-42DE-9E2E-2206F380B340}"/>
    <cellStyle name="Normal 2" xfId="170" xr:uid="{C553C0C2-CE75-491A-8F21-EA4FCD1DC6C2}"/>
    <cellStyle name="Normal 2 2" xfId="171" xr:uid="{08184335-2D9A-477C-A1EF-2909DF648D49}"/>
    <cellStyle name="Normal 2 2 2" xfId="172" xr:uid="{7550398D-B74F-4DEA-B1B8-2334329521AD}"/>
    <cellStyle name="Normal 2 2 3" xfId="173" xr:uid="{8D353679-6648-4F16-8C8B-2A8F9E36B4B2}"/>
    <cellStyle name="Normal 2 3" xfId="174" xr:uid="{A3431D04-2FA2-4F70-B76D-DD06E08720E1}"/>
    <cellStyle name="Normal 2 4" xfId="175" xr:uid="{25A7AD07-0C71-4B09-875F-189192961144}"/>
    <cellStyle name="Normal 2 5" xfId="176" xr:uid="{7A02609B-F741-492F-B309-EC6328FD57FB}"/>
    <cellStyle name="Normal 3" xfId="177" xr:uid="{701B0E47-A079-43CB-BE2C-4EDE91DDB864}"/>
    <cellStyle name="Normal 3 2" xfId="178" xr:uid="{3FA28C85-063F-4BA2-88A1-03C36D003F48}"/>
    <cellStyle name="Normal 3 2 2" xfId="179" xr:uid="{C1919CD7-5351-4BD9-87E5-E44F8A74800F}"/>
    <cellStyle name="Normal 3 3" xfId="180" xr:uid="{ED7C6407-012A-404B-8FF9-814D2082E2EA}"/>
    <cellStyle name="Normal 3 3 2" xfId="181" xr:uid="{D35713BA-43A6-4C47-96FB-F5E753CB5E11}"/>
    <cellStyle name="Normal 4" xfId="182" xr:uid="{B8E63920-BAF9-41B6-BB07-CD14CBA9AB72}"/>
    <cellStyle name="Normal 4 2" xfId="183" xr:uid="{A67B04B5-3F79-4A1D-B409-6AE68E1EA80F}"/>
    <cellStyle name="Normal 4 3" xfId="184" xr:uid="{13E4DE34-F354-4016-80E0-1D155F5E1846}"/>
    <cellStyle name="Normal 5" xfId="185" xr:uid="{D2B7FB50-6D70-40C5-AF89-6E7A8CF31C1B}"/>
    <cellStyle name="Normal 5 2" xfId="186" xr:uid="{680DEB7D-C177-4BE2-8A14-8C9979198474}"/>
    <cellStyle name="Normal 5 2 2" xfId="187" xr:uid="{5A2C22F7-5FAC-43DC-A3D4-FB08A7489613}"/>
    <cellStyle name="Normal 5 3" xfId="188" xr:uid="{A91E5DC0-A0F3-49AC-809B-46A09AB4EF38}"/>
    <cellStyle name="Normal 5 4" xfId="189" xr:uid="{457405C2-CED0-4A15-888F-BFF9052C663F}"/>
    <cellStyle name="Normal 5 5" xfId="190" xr:uid="{C15710D8-BC4A-4927-A64E-9E2E00D971CF}"/>
    <cellStyle name="Normal 5 6" xfId="191" xr:uid="{2AFDD563-C7D7-4F75-90F0-CCDA834296D4}"/>
    <cellStyle name="Normal 6" xfId="192" xr:uid="{D8D9C3EF-8E4D-4BB2-B7D8-80537DFF85CE}"/>
    <cellStyle name="Normal 6 2" xfId="193" xr:uid="{E16BA659-93BD-4BFB-A726-BFE2DEA721C8}"/>
    <cellStyle name="Normal 6 2 2" xfId="194" xr:uid="{54E89056-72FE-4AEA-9C9A-1BB74D1E850A}"/>
    <cellStyle name="Normal 6 3" xfId="195" xr:uid="{274C8F8D-704D-497F-83C1-58C198936710}"/>
    <cellStyle name="Normal 6 4" xfId="196" xr:uid="{73D27D19-CEEF-4042-B241-38DB12ECBF95}"/>
    <cellStyle name="Normal 7" xfId="197" xr:uid="{E483489A-7CDE-4729-A835-0DD6EAA798BE}"/>
    <cellStyle name="Normal 8" xfId="198" xr:uid="{5FABFE7E-5468-4AAD-897A-34A50654E87F}"/>
    <cellStyle name="Normal 9" xfId="199" xr:uid="{56ED70AF-6190-42F5-8A02-42053C84BDF0}"/>
    <cellStyle name="Normal 9 2" xfId="200" xr:uid="{3441DD87-0B19-4A5E-B182-532867B0C40A}"/>
    <cellStyle name="Normal 9 2 2" xfId="201" xr:uid="{A85ABE4A-39C6-4296-8657-9E67BFCC30A2}"/>
    <cellStyle name="Normal 9 3" xfId="202" xr:uid="{58AA20D2-ED48-4A56-BAC3-F395FEA3DF35}"/>
    <cellStyle name="Normal 9 4" xfId="203" xr:uid="{A22D6D31-F67E-4B2D-9AE1-C06FCF61F6DB}"/>
    <cellStyle name="Note 2" xfId="204" xr:uid="{E85929A9-3D05-4E26-AD92-525BF4E42665}"/>
    <cellStyle name="Note 2 2" xfId="205" xr:uid="{EC7E7BCA-2655-422E-90AB-B272C447D1EC}"/>
    <cellStyle name="Note 2 3" xfId="206" xr:uid="{6B308FAE-A038-45B5-B127-6EEE3FDDC508}"/>
    <cellStyle name="Notiz" xfId="207" xr:uid="{A30E598F-2144-4C81-9438-0E04A3EC84FD}"/>
    <cellStyle name="Notiz 2" xfId="208" xr:uid="{26A6CE4E-D5DD-4CAF-9A01-8FD0029A7CD1}"/>
    <cellStyle name="Output 2" xfId="209" xr:uid="{A2029B7A-0865-410C-808C-AF0C4DC0203C}"/>
    <cellStyle name="Output 2 2" xfId="210" xr:uid="{3F300FF1-1831-4E14-9DAD-251D96C50D34}"/>
    <cellStyle name="Output 2 3" xfId="211" xr:uid="{8E5E2187-3E05-4C12-B43B-8A7FBDD18385}"/>
    <cellStyle name="Percent 2" xfId="212" xr:uid="{1E511FE8-91F7-482F-9CC8-E8446854FB02}"/>
    <cellStyle name="Percent 2 2" xfId="213" xr:uid="{A2B6DA43-3476-425A-B181-1B2B59FAC229}"/>
    <cellStyle name="Percent 3" xfId="214" xr:uid="{12E6897B-03F3-4ADD-8DBF-8E2AEEB19184}"/>
    <cellStyle name="Percent 3 2" xfId="215" xr:uid="{36904606-6B7B-4287-B2C8-ED66FCAF672A}"/>
    <cellStyle name="Procent 2" xfId="216" xr:uid="{347BF6F3-DC5E-49EA-840F-6A5A93F25BC9}"/>
    <cellStyle name="Schlecht" xfId="217" xr:uid="{818BF806-F7CA-404E-B89E-36F401C5F943}"/>
    <cellStyle name="Sheet Title" xfId="218" xr:uid="{4617B072-73D3-4FF6-B3BD-35BF44F62231}"/>
    <cellStyle name="Standard 2" xfId="219" xr:uid="{C76F35C3-DFF6-4888-ACC5-FE63E4CD7C29}"/>
    <cellStyle name="Title 2" xfId="220" xr:uid="{D0D080CC-DE86-496E-B677-44243D515BC9}"/>
    <cellStyle name="Title 2 2" xfId="221" xr:uid="{CEDEF5B7-6B76-49AB-ACDD-2F068970288C}"/>
    <cellStyle name="Total 2" xfId="222" xr:uid="{E93EA3D6-2990-4A76-95EC-4E94C13F0D5F}"/>
    <cellStyle name="Total 2 2" xfId="223" xr:uid="{24B31F08-FD7D-437B-8BD6-E49595E4B706}"/>
    <cellStyle name="Total 2 3" xfId="224" xr:uid="{989EE2DD-B9A9-4401-8CD4-FC5333C225FC}"/>
    <cellStyle name="Überschrift" xfId="225" xr:uid="{F9670612-E0EB-4557-AD39-480EB74C3908}"/>
    <cellStyle name="Überschrift 1" xfId="226" xr:uid="{8B81867E-53B0-47E6-B682-2EC49F65E691}"/>
    <cellStyle name="Überschrift 2" xfId="227" xr:uid="{A03C0C98-2BAA-4556-810B-74C32DEE2CDA}"/>
    <cellStyle name="Überschrift 3" xfId="228" xr:uid="{29AC0AC8-4CF3-43FB-AA32-63C590F5BBD8}"/>
    <cellStyle name="Überschrift 3 2" xfId="229" xr:uid="{9F2C54A0-F5C3-4D01-B283-1505D8A8BE62}"/>
    <cellStyle name="Überschrift 4" xfId="230" xr:uid="{C76426DE-F8DB-404C-B27E-FCBBBB3C0B2A}"/>
    <cellStyle name="Überschrift_Demand" xfId="231" xr:uid="{D7958B94-541A-4763-992F-C4C334452806}"/>
    <cellStyle name="Verknüpfte Zelle" xfId="232" xr:uid="{A890BE63-13B7-4D9E-A2E9-7B28B430EC45}"/>
    <cellStyle name="Virgulă 2" xfId="233" xr:uid="{88092F66-E31E-44D7-9542-9764F8B43498}"/>
    <cellStyle name="Warnender Text" xfId="234" xr:uid="{1F1D9944-9EFC-4B65-A758-890A7BDC5009}"/>
    <cellStyle name="Warning Text 2" xfId="235" xr:uid="{3F337113-B4FD-4003-BDB1-4C9F9DC13934}"/>
    <cellStyle name="Warning Text 2 2" xfId="236" xr:uid="{1F40156F-4E47-4FE6-9890-C15C6ADBC342}"/>
    <cellStyle name="Zelle überprüfen" xfId="237" xr:uid="{382221B1-4628-4BBA-A1F0-63DA16A8BD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7A97F-414E-425A-92B9-21B2F2A4675A}">
  <dimension ref="A1:BF256"/>
  <sheetViews>
    <sheetView tabSelected="1" zoomScale="80" zoomScaleNormal="80" workbookViewId="0">
      <pane xSplit="3" ySplit="13" topLeftCell="D14" activePane="bottomRight" state="frozen"/>
      <selection pane="topRight" activeCell="L1" sqref="L1"/>
      <selection pane="bottomLeft" activeCell="A14" sqref="A14"/>
      <selection pane="bottomRight" activeCell="A8" sqref="A8:Y8"/>
    </sheetView>
  </sheetViews>
  <sheetFormatPr defaultColWidth="9.109375" defaultRowHeight="10.199999999999999" x14ac:dyDescent="0.2"/>
  <cols>
    <col min="1" max="1" width="3.5546875" style="11" customWidth="1"/>
    <col min="2" max="2" width="10.77734375" style="31" customWidth="1"/>
    <col min="3" max="3" width="5" style="31" customWidth="1"/>
    <col min="4" max="4" width="2.77734375" style="11" customWidth="1"/>
    <col min="5" max="5" width="6.6640625" style="11" customWidth="1"/>
    <col min="6" max="6" width="7.88671875" style="11" customWidth="1"/>
    <col min="7" max="7" width="7.77734375" style="11" customWidth="1"/>
    <col min="8" max="8" width="7.33203125" style="11" customWidth="1"/>
    <col min="9" max="9" width="4.33203125" style="11" hidden="1" customWidth="1"/>
    <col min="10" max="11" width="6.44140625" style="11" customWidth="1"/>
    <col min="12" max="12" width="8.33203125" style="11" customWidth="1"/>
    <col min="13" max="13" width="7.44140625" style="11" customWidth="1"/>
    <col min="14" max="14" width="7.6640625" style="11" customWidth="1"/>
    <col min="15" max="15" width="0.21875" style="11" customWidth="1"/>
    <col min="16" max="17" width="7.109375" style="11" customWidth="1"/>
    <col min="18" max="18" width="6.88671875" style="11" customWidth="1"/>
    <col min="19" max="19" width="6.5546875" style="11" customWidth="1"/>
    <col min="20" max="20" width="7.5546875" style="11" customWidth="1"/>
    <col min="21" max="21" width="3.6640625" style="11" hidden="1" customWidth="1"/>
    <col min="22" max="22" width="10.5546875" style="11" customWidth="1"/>
    <col min="23" max="23" width="7.5546875" style="11" customWidth="1"/>
    <col min="24" max="24" width="6.33203125" style="11" customWidth="1"/>
    <col min="25" max="25" width="7.109375" style="11" customWidth="1"/>
    <col min="26" max="26" width="6.88671875" style="11" customWidth="1"/>
    <col min="27" max="27" width="2.6640625" style="11" hidden="1" customWidth="1"/>
    <col min="28" max="28" width="8.109375" style="11" customWidth="1"/>
    <col min="29" max="31" width="6.33203125" style="11" customWidth="1"/>
    <col min="32" max="32" width="7.77734375" style="11" customWidth="1"/>
    <col min="33" max="33" width="0.33203125" style="11" customWidth="1"/>
    <col min="34" max="34" width="6.5546875" style="11" customWidth="1"/>
    <col min="35" max="35" width="9.109375" style="11"/>
    <col min="36" max="36" width="12.5546875" style="11" bestFit="1" customWidth="1"/>
    <col min="37" max="37" width="10.88671875" style="11" bestFit="1" customWidth="1"/>
    <col min="38" max="39" width="9.109375" style="11"/>
    <col min="40" max="40" width="12.5546875" style="11" customWidth="1"/>
    <col min="41" max="52" width="9.109375" style="11"/>
    <col min="53" max="53" width="9.88671875" style="11" bestFit="1" customWidth="1"/>
    <col min="54" max="16384" width="9.109375" style="11"/>
  </cols>
  <sheetData>
    <row r="1" spans="1:34" x14ac:dyDescent="0.2">
      <c r="A1" s="9"/>
      <c r="B1" s="10"/>
      <c r="C1" s="10"/>
      <c r="D1" s="9"/>
    </row>
    <row r="2" spans="1:34" ht="15.75" customHeight="1" x14ac:dyDescent="0.2">
      <c r="A2" s="297" t="s">
        <v>51</v>
      </c>
      <c r="B2" s="297"/>
      <c r="C2" s="297"/>
      <c r="D2" s="269"/>
      <c r="E2" s="269"/>
      <c r="F2" s="269"/>
      <c r="G2" s="269"/>
      <c r="H2" s="269"/>
      <c r="I2" s="269"/>
      <c r="J2" s="269"/>
    </row>
    <row r="3" spans="1:34" x14ac:dyDescent="0.2">
      <c r="A3" s="297" t="s">
        <v>50</v>
      </c>
      <c r="B3" s="297"/>
      <c r="C3" s="297"/>
      <c r="D3" s="269"/>
      <c r="E3" s="269"/>
      <c r="F3" s="269"/>
      <c r="G3" s="269"/>
      <c r="H3" s="269"/>
      <c r="I3" s="269"/>
      <c r="J3" s="269"/>
    </row>
    <row r="4" spans="1:34" x14ac:dyDescent="0.2">
      <c r="A4" s="297" t="s">
        <v>52</v>
      </c>
      <c r="B4" s="297"/>
      <c r="C4" s="297"/>
      <c r="D4" s="12"/>
    </row>
    <row r="5" spans="1:34" x14ac:dyDescent="0.2">
      <c r="A5" s="271" t="s">
        <v>148</v>
      </c>
      <c r="B5" s="269"/>
      <c r="C5" s="13"/>
      <c r="D5" s="14"/>
      <c r="R5" s="15"/>
      <c r="Y5" s="278"/>
    </row>
    <row r="6" spans="1:34" x14ac:dyDescent="0.2">
      <c r="A6" s="271" t="s">
        <v>154</v>
      </c>
      <c r="B6" s="269"/>
      <c r="C6" s="10"/>
      <c r="D6" s="9"/>
      <c r="I6" s="16"/>
      <c r="J6" s="16"/>
      <c r="O6" s="16"/>
      <c r="U6" s="16"/>
      <c r="V6" s="16"/>
      <c r="Y6" s="278"/>
      <c r="AA6" s="16"/>
      <c r="AB6" s="16"/>
      <c r="AG6" s="16"/>
      <c r="AH6" s="16"/>
    </row>
    <row r="7" spans="1:34" ht="15" customHeight="1" x14ac:dyDescent="0.2">
      <c r="A7" s="268"/>
      <c r="B7" s="268"/>
      <c r="C7" s="268"/>
      <c r="D7" s="269"/>
      <c r="E7" s="269"/>
      <c r="F7" s="269"/>
      <c r="G7" s="269"/>
      <c r="H7" s="269"/>
      <c r="I7" s="269"/>
      <c r="J7" s="269"/>
      <c r="K7" s="269"/>
    </row>
    <row r="8" spans="1:34" ht="15.6" customHeight="1" x14ac:dyDescent="0.2">
      <c r="A8" s="268" t="s">
        <v>155</v>
      </c>
      <c r="B8" s="268"/>
      <c r="C8" s="268"/>
      <c r="D8" s="270"/>
      <c r="E8" s="270"/>
      <c r="F8" s="270"/>
      <c r="G8" s="270"/>
      <c r="H8" s="270"/>
      <c r="I8" s="270"/>
      <c r="J8" s="270"/>
      <c r="K8" s="270"/>
      <c r="L8" s="270"/>
      <c r="M8" s="270"/>
      <c r="N8" s="270"/>
      <c r="O8" s="270"/>
      <c r="P8" s="270"/>
      <c r="Q8" s="270"/>
      <c r="R8" s="270"/>
      <c r="S8" s="270"/>
      <c r="T8" s="270"/>
      <c r="U8" s="270"/>
      <c r="V8" s="270"/>
      <c r="W8" s="270"/>
      <c r="X8" s="270"/>
      <c r="Y8" s="270"/>
    </row>
    <row r="9" spans="1:34" ht="14.4" customHeight="1" x14ac:dyDescent="0.2">
      <c r="A9" s="9"/>
      <c r="B9" s="10"/>
      <c r="C9" s="10"/>
      <c r="D9" s="9"/>
    </row>
    <row r="10" spans="1:34" ht="25.5" customHeight="1" x14ac:dyDescent="0.2">
      <c r="A10" s="17"/>
      <c r="B10" s="293" t="s">
        <v>38</v>
      </c>
      <c r="C10" s="292"/>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2"/>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ht="14.25" customHeight="1" x14ac:dyDescent="0.2">
      <c r="A12" s="17"/>
      <c r="B12" s="293"/>
      <c r="C12" s="292"/>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18">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66" t="s">
        <v>105</v>
      </c>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row>
    <row r="15" spans="1:34" ht="15.75" customHeight="1" thickBot="1" x14ac:dyDescent="0.25">
      <c r="A15" s="289"/>
      <c r="B15" s="284" t="s">
        <v>92</v>
      </c>
      <c r="C15" s="291"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91"/>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91"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91"/>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91"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30" customHeight="1" thickBot="1" x14ac:dyDescent="0.25">
      <c r="A20" s="289"/>
      <c r="B20" s="284"/>
      <c r="C20" s="291"/>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91"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91"/>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91"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91"/>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91"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91"/>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91"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91"/>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91"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91"/>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91"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91"/>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91"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5.75" customHeight="1" thickBot="1" x14ac:dyDescent="0.25">
      <c r="A34" s="289"/>
      <c r="B34" s="294"/>
      <c r="C34" s="291"/>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37.799999999999997" customHeight="1" thickBot="1" x14ac:dyDescent="0.25">
      <c r="A37" s="289"/>
      <c r="B37" s="294"/>
      <c r="C37" s="291"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51" customHeight="1" thickBot="1" x14ac:dyDescent="0.25">
      <c r="A38" s="289"/>
      <c r="B38" s="294"/>
      <c r="C38" s="291"/>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84"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84"/>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84"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84"/>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84"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84"/>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252"/>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252"/>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0.4</v>
      </c>
      <c r="F61" s="252">
        <v>0.4</v>
      </c>
      <c r="G61" s="252">
        <v>0.4</v>
      </c>
      <c r="H61" s="252">
        <v>0.4</v>
      </c>
      <c r="I61" s="251"/>
      <c r="J61" s="252">
        <v>0.4</v>
      </c>
      <c r="K61" s="252">
        <v>1</v>
      </c>
      <c r="L61" s="252">
        <v>1</v>
      </c>
      <c r="M61" s="252">
        <v>1</v>
      </c>
      <c r="N61" s="252">
        <v>1</v>
      </c>
      <c r="O61" s="252"/>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24.6" customHeight="1" x14ac:dyDescent="0.2">
      <c r="A62" s="289"/>
      <c r="B62" s="284"/>
      <c r="C62" s="284"/>
      <c r="D62" s="251"/>
      <c r="E62" s="252"/>
      <c r="F62" s="252"/>
      <c r="G62" s="252"/>
      <c r="H62" s="252"/>
      <c r="I62" s="251">
        <f>F62</f>
        <v>0</v>
      </c>
      <c r="J62" s="252"/>
      <c r="K62" s="252"/>
      <c r="L62" s="252"/>
      <c r="M62" s="252"/>
      <c r="N62" s="252"/>
      <c r="O62" s="252"/>
      <c r="P62" s="252"/>
      <c r="Q62" s="252"/>
      <c r="R62" s="252"/>
      <c r="S62" s="252"/>
      <c r="T62" s="252"/>
      <c r="U62" s="19"/>
      <c r="V62" s="252"/>
      <c r="W62" s="252"/>
      <c r="X62" s="252"/>
      <c r="Y62" s="252"/>
      <c r="Z62" s="252"/>
      <c r="AA62" s="19"/>
      <c r="AB62" s="252"/>
      <c r="AC62" s="252"/>
      <c r="AD62" s="252"/>
      <c r="AE62" s="252"/>
      <c r="AF62" s="252"/>
      <c r="AG62" s="19"/>
      <c r="AH62" s="252"/>
    </row>
    <row r="63" spans="1:34" ht="18.600000000000001"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254"/>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18.600000000000001" customHeight="1" x14ac:dyDescent="0.2">
      <c r="A64" s="289"/>
      <c r="B64" s="294"/>
      <c r="C64" s="294"/>
      <c r="D64" s="251"/>
      <c r="E64" s="251"/>
      <c r="F64" s="251"/>
      <c r="G64" s="251"/>
      <c r="H64" s="251"/>
      <c r="I64" s="19"/>
      <c r="J64" s="251"/>
      <c r="K64" s="254"/>
      <c r="L64" s="254"/>
      <c r="M64" s="254"/>
      <c r="N64" s="254"/>
      <c r="O64" s="254"/>
      <c r="P64" s="254"/>
      <c r="Q64" s="254"/>
      <c r="R64" s="254"/>
      <c r="S64" s="254"/>
      <c r="T64" s="254"/>
      <c r="U64" s="19"/>
      <c r="V64" s="254"/>
      <c r="W64" s="254"/>
      <c r="X64" s="254"/>
      <c r="Y64" s="254"/>
      <c r="Z64" s="254"/>
      <c r="AA64" s="19"/>
      <c r="AB64" s="254"/>
      <c r="AC64" s="251"/>
      <c r="AD64" s="251"/>
      <c r="AE64" s="251"/>
      <c r="AF64" s="251"/>
      <c r="AG64" s="19"/>
      <c r="AH64" s="251"/>
    </row>
    <row r="65" spans="1:36"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252"/>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6" ht="27.6" customHeight="1" x14ac:dyDescent="0.2">
      <c r="A66" s="289"/>
      <c r="B66" s="284"/>
      <c r="C66" s="284"/>
      <c r="D66" s="251"/>
      <c r="E66" s="251"/>
      <c r="F66" s="251"/>
      <c r="G66" s="251"/>
      <c r="H66" s="251"/>
      <c r="I66" s="19"/>
      <c r="J66" s="251"/>
      <c r="K66" s="251"/>
      <c r="L66" s="251"/>
      <c r="M66" s="251"/>
      <c r="N66" s="251"/>
      <c r="O66" s="251"/>
      <c r="P66" s="251"/>
      <c r="Q66" s="251"/>
      <c r="R66" s="251"/>
      <c r="S66" s="251"/>
      <c r="T66" s="251"/>
      <c r="U66" s="19"/>
      <c r="V66" s="251"/>
      <c r="W66" s="251"/>
      <c r="X66" s="251"/>
      <c r="Y66" s="251"/>
      <c r="Z66" s="251"/>
      <c r="AA66" s="19"/>
      <c r="AB66" s="251"/>
      <c r="AC66" s="251"/>
      <c r="AD66" s="251"/>
      <c r="AE66" s="251"/>
      <c r="AF66" s="251"/>
      <c r="AG66" s="19"/>
      <c r="AH66" s="251"/>
    </row>
    <row r="67" spans="1:36" x14ac:dyDescent="0.2">
      <c r="A67" s="289"/>
      <c r="B67" s="284" t="s">
        <v>111</v>
      </c>
      <c r="C67" s="284"/>
      <c r="D67" s="251" t="s">
        <v>78</v>
      </c>
      <c r="E67" s="252">
        <v>1</v>
      </c>
      <c r="F67" s="252">
        <v>1</v>
      </c>
      <c r="G67" s="252">
        <v>1</v>
      </c>
      <c r="H67" s="252">
        <v>1</v>
      </c>
      <c r="I67" s="19"/>
      <c r="J67" s="252">
        <v>1</v>
      </c>
      <c r="K67" s="252">
        <v>1</v>
      </c>
      <c r="L67" s="252">
        <v>1</v>
      </c>
      <c r="M67" s="252">
        <v>1</v>
      </c>
      <c r="N67" s="252">
        <v>1</v>
      </c>
      <c r="O67" s="252"/>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6" ht="28.8" customHeight="1" x14ac:dyDescent="0.2">
      <c r="A68" s="289"/>
      <c r="B68" s="284"/>
      <c r="C68" s="284"/>
      <c r="D68" s="251"/>
      <c r="E68" s="252"/>
      <c r="F68" s="252"/>
      <c r="G68" s="252"/>
      <c r="H68" s="252"/>
      <c r="I68" s="19"/>
      <c r="J68" s="252"/>
      <c r="K68" s="252"/>
      <c r="L68" s="252"/>
      <c r="M68" s="252"/>
      <c r="N68" s="252"/>
      <c r="O68" s="252"/>
      <c r="P68" s="252"/>
      <c r="Q68" s="252"/>
      <c r="R68" s="252"/>
      <c r="S68" s="252"/>
      <c r="T68" s="252"/>
      <c r="U68" s="19"/>
      <c r="V68" s="252"/>
      <c r="W68" s="252"/>
      <c r="X68" s="252"/>
      <c r="Y68" s="252"/>
      <c r="Z68" s="252"/>
      <c r="AA68" s="19"/>
      <c r="AB68" s="252"/>
      <c r="AC68" s="252"/>
      <c r="AD68" s="252"/>
      <c r="AE68" s="252"/>
      <c r="AF68" s="252"/>
      <c r="AG68" s="19"/>
      <c r="AH68" s="252"/>
    </row>
    <row r="69" spans="1:36" x14ac:dyDescent="0.2">
      <c r="A69" s="289"/>
      <c r="B69" s="284" t="s">
        <v>15</v>
      </c>
      <c r="C69" s="284"/>
      <c r="D69" s="251" t="s">
        <v>78</v>
      </c>
      <c r="E69" s="254">
        <v>0.01</v>
      </c>
      <c r="F69" s="254">
        <v>0.01</v>
      </c>
      <c r="G69" s="254">
        <v>0.01</v>
      </c>
      <c r="H69" s="254">
        <v>0.01</v>
      </c>
      <c r="I69" s="19"/>
      <c r="J69" s="254">
        <v>0.01</v>
      </c>
      <c r="K69" s="254">
        <v>9.7999999999999997E-3</v>
      </c>
      <c r="L69" s="254">
        <v>9.7999999999999997E-3</v>
      </c>
      <c r="M69" s="254">
        <v>9.7999999999999997E-3</v>
      </c>
      <c r="N69" s="254">
        <v>9.7999999999999997E-3</v>
      </c>
      <c r="O69" s="254"/>
      <c r="P69" s="254">
        <v>9.7999999999999997E-3</v>
      </c>
      <c r="Q69" s="254">
        <v>9.5999999999999992E-3</v>
      </c>
      <c r="R69" s="254">
        <v>9.5999999999999992E-3</v>
      </c>
      <c r="S69" s="254">
        <v>9.5999999999999992E-3</v>
      </c>
      <c r="T69" s="254">
        <v>9.5999999999999992E-3</v>
      </c>
      <c r="U69" s="19"/>
      <c r="V69" s="254">
        <v>9.5999999999999992E-3</v>
      </c>
      <c r="W69" s="254">
        <v>9.4000000000000004E-3</v>
      </c>
      <c r="X69" s="254">
        <v>9.4000000000000004E-3</v>
      </c>
      <c r="Y69" s="254">
        <v>9.4000000000000004E-3</v>
      </c>
      <c r="Z69" s="254">
        <v>9.4000000000000004E-3</v>
      </c>
      <c r="AA69" s="19"/>
      <c r="AB69" s="254">
        <v>9.4000000000000004E-3</v>
      </c>
      <c r="AC69" s="254">
        <v>9.1999999999999998E-3</v>
      </c>
      <c r="AD69" s="254">
        <v>9.1999999999999998E-3</v>
      </c>
      <c r="AE69" s="254">
        <v>9.1999999999999998E-3</v>
      </c>
      <c r="AF69" s="254">
        <v>9.1999999999999998E-3</v>
      </c>
      <c r="AG69" s="19"/>
      <c r="AH69" s="254">
        <v>9.1999999999999998E-3</v>
      </c>
    </row>
    <row r="70" spans="1:36" x14ac:dyDescent="0.2">
      <c r="A70" s="289"/>
      <c r="B70" s="284"/>
      <c r="C70" s="284"/>
      <c r="D70" s="251"/>
      <c r="E70" s="251"/>
      <c r="F70" s="251"/>
      <c r="G70" s="251"/>
      <c r="H70" s="251"/>
      <c r="I70" s="19"/>
      <c r="J70" s="251"/>
      <c r="K70" s="251"/>
      <c r="L70" s="251"/>
      <c r="M70" s="251"/>
      <c r="N70" s="251"/>
      <c r="O70" s="251"/>
      <c r="P70" s="251"/>
      <c r="Q70" s="251"/>
      <c r="R70" s="251"/>
      <c r="S70" s="251"/>
      <c r="T70" s="251"/>
      <c r="U70" s="19"/>
      <c r="V70" s="251"/>
      <c r="W70" s="251"/>
      <c r="X70" s="251"/>
      <c r="Y70" s="251"/>
      <c r="Z70" s="251"/>
      <c r="AA70" s="19"/>
      <c r="AB70" s="251"/>
      <c r="AC70" s="251"/>
      <c r="AD70" s="251"/>
      <c r="AE70" s="251"/>
      <c r="AF70" s="251"/>
      <c r="AG70" s="19"/>
      <c r="AH70" s="251"/>
    </row>
    <row r="71" spans="1:36"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25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c r="AJ71" s="16"/>
    </row>
    <row r="72" spans="1:36" ht="31.2" customHeight="1" x14ac:dyDescent="0.2">
      <c r="A72" s="265"/>
      <c r="B72" s="287"/>
      <c r="C72" s="287"/>
      <c r="D72" s="295"/>
      <c r="E72" s="259"/>
      <c r="F72" s="259"/>
      <c r="G72" s="259"/>
      <c r="H72" s="259"/>
      <c r="I72" s="19"/>
      <c r="J72" s="259"/>
      <c r="K72" s="259"/>
      <c r="L72" s="259"/>
      <c r="M72" s="259"/>
      <c r="N72" s="259"/>
      <c r="O72" s="259"/>
      <c r="P72" s="259"/>
      <c r="Q72" s="259"/>
      <c r="R72" s="259"/>
      <c r="S72" s="259"/>
      <c r="T72" s="259"/>
      <c r="U72" s="19"/>
      <c r="V72" s="259"/>
      <c r="W72" s="259"/>
      <c r="X72" s="259"/>
      <c r="Y72" s="259"/>
      <c r="Z72" s="259"/>
      <c r="AA72" s="19"/>
      <c r="AB72" s="259"/>
      <c r="AC72" s="259"/>
      <c r="AD72" s="259"/>
      <c r="AE72" s="259"/>
      <c r="AF72" s="259"/>
      <c r="AG72" s="19"/>
      <c r="AH72" s="259"/>
    </row>
    <row r="73" spans="1:36" x14ac:dyDescent="0.2">
      <c r="A73" s="17">
        <v>1.4</v>
      </c>
      <c r="B73" s="274" t="s">
        <v>16</v>
      </c>
      <c r="C73" s="275"/>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6" x14ac:dyDescent="0.2">
      <c r="A74" s="289"/>
      <c r="B74" s="284" t="s">
        <v>17</v>
      </c>
      <c r="C74" s="284"/>
      <c r="D74" s="252" t="s">
        <v>78</v>
      </c>
      <c r="E74" s="254">
        <v>0.01</v>
      </c>
      <c r="F74" s="254">
        <v>0.01</v>
      </c>
      <c r="G74" s="254">
        <v>0.01</v>
      </c>
      <c r="H74" s="254">
        <v>0.01</v>
      </c>
      <c r="I74" s="257"/>
      <c r="J74" s="255">
        <v>0.01</v>
      </c>
      <c r="K74" s="255">
        <v>9.7999999999999997E-3</v>
      </c>
      <c r="L74" s="254">
        <v>9.7999999999999997E-3</v>
      </c>
      <c r="M74" s="254">
        <v>9.7999999999999997E-3</v>
      </c>
      <c r="N74" s="254">
        <v>9.7999999999999997E-3</v>
      </c>
      <c r="O74" s="257"/>
      <c r="P74" s="254">
        <v>9.7999999999999997E-3</v>
      </c>
      <c r="Q74" s="254">
        <v>9.5999999999999992E-3</v>
      </c>
      <c r="R74" s="254">
        <v>9.5999999999999992E-3</v>
      </c>
      <c r="S74" s="254">
        <v>9.5999999999999992E-3</v>
      </c>
      <c r="T74" s="254">
        <v>9.5999999999999992E-3</v>
      </c>
      <c r="U74" s="257"/>
      <c r="V74" s="254">
        <v>9.5999999999999992E-3</v>
      </c>
      <c r="W74" s="254">
        <v>9.4000000000000004E-3</v>
      </c>
      <c r="X74" s="254">
        <v>9.4000000000000004E-3</v>
      </c>
      <c r="Y74" s="254">
        <v>9.4000000000000004E-3</v>
      </c>
      <c r="Z74" s="254">
        <v>9.4000000000000004E-3</v>
      </c>
      <c r="AA74" s="255"/>
      <c r="AB74" s="254">
        <v>9.4000000000000004E-3</v>
      </c>
      <c r="AC74" s="254">
        <v>9.1999999999999998E-3</v>
      </c>
      <c r="AD74" s="254">
        <v>9.1999999999999998E-3</v>
      </c>
      <c r="AE74" s="254">
        <v>9.1999999999999998E-3</v>
      </c>
      <c r="AF74" s="254">
        <v>9.1999999999999998E-3</v>
      </c>
      <c r="AG74" s="255"/>
      <c r="AH74" s="254">
        <v>9.1999999999999998E-3</v>
      </c>
    </row>
    <row r="75" spans="1:36" ht="10.199999999999999" customHeight="1" x14ac:dyDescent="0.2">
      <c r="A75" s="289"/>
      <c r="B75" s="284"/>
      <c r="C75" s="284"/>
      <c r="D75" s="252"/>
      <c r="E75" s="254"/>
      <c r="F75" s="254"/>
      <c r="G75" s="254"/>
      <c r="H75" s="254"/>
      <c r="I75" s="256"/>
      <c r="J75" s="258"/>
      <c r="K75" s="258"/>
      <c r="L75" s="254"/>
      <c r="M75" s="254"/>
      <c r="N75" s="254"/>
      <c r="O75" s="256"/>
      <c r="P75" s="254"/>
      <c r="Q75" s="254"/>
      <c r="R75" s="254"/>
      <c r="S75" s="254"/>
      <c r="T75" s="254"/>
      <c r="U75" s="256"/>
      <c r="V75" s="254"/>
      <c r="W75" s="254"/>
      <c r="X75" s="254"/>
      <c r="Y75" s="254"/>
      <c r="Z75" s="254"/>
      <c r="AA75" s="256"/>
      <c r="AB75" s="254"/>
      <c r="AC75" s="254"/>
      <c r="AD75" s="254"/>
      <c r="AE75" s="254"/>
      <c r="AF75" s="254"/>
      <c r="AG75" s="256"/>
      <c r="AH75" s="254"/>
    </row>
    <row r="76" spans="1:36" ht="44.4" customHeight="1" x14ac:dyDescent="0.2">
      <c r="A76" s="289"/>
      <c r="B76" s="296" t="s">
        <v>82</v>
      </c>
      <c r="C76" s="296"/>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6" ht="26.4" customHeight="1" x14ac:dyDescent="0.2">
      <c r="A77" s="289"/>
      <c r="B77" s="296" t="s">
        <v>83</v>
      </c>
      <c r="C77" s="296"/>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6" x14ac:dyDescent="0.2">
      <c r="A78" s="289"/>
      <c r="B78" s="284" t="s">
        <v>18</v>
      </c>
      <c r="C78" s="284"/>
      <c r="D78" s="272" t="s">
        <v>78</v>
      </c>
      <c r="E78" s="252">
        <v>0.9</v>
      </c>
      <c r="F78" s="252">
        <v>0.9</v>
      </c>
      <c r="G78" s="252">
        <v>0.9</v>
      </c>
      <c r="H78" s="252">
        <v>0.9</v>
      </c>
      <c r="I78" s="257"/>
      <c r="J78" s="252">
        <v>0.9</v>
      </c>
      <c r="K78" s="252">
        <v>0.9</v>
      </c>
      <c r="L78" s="252">
        <v>0.9</v>
      </c>
      <c r="M78" s="252">
        <v>0.9</v>
      </c>
      <c r="N78" s="252">
        <v>0.9</v>
      </c>
      <c r="O78" s="257"/>
      <c r="P78" s="252">
        <v>0.9</v>
      </c>
      <c r="Q78" s="252">
        <v>0.9</v>
      </c>
      <c r="R78" s="252">
        <v>0.9</v>
      </c>
      <c r="S78" s="252">
        <v>0.9</v>
      </c>
      <c r="T78" s="252">
        <v>0.9</v>
      </c>
      <c r="U78" s="257"/>
      <c r="V78" s="252">
        <v>0.9</v>
      </c>
      <c r="W78" s="252">
        <v>0.9</v>
      </c>
      <c r="X78" s="252">
        <v>0.9</v>
      </c>
      <c r="Y78" s="252">
        <v>0.9</v>
      </c>
      <c r="Z78" s="252">
        <v>0.9</v>
      </c>
      <c r="AA78" s="257"/>
      <c r="AB78" s="252">
        <v>0.9</v>
      </c>
      <c r="AC78" s="252">
        <v>0.9</v>
      </c>
      <c r="AD78" s="252">
        <v>0.9</v>
      </c>
      <c r="AE78" s="252">
        <v>0.9</v>
      </c>
      <c r="AF78" s="252">
        <v>0.9</v>
      </c>
      <c r="AG78" s="257"/>
      <c r="AH78" s="252">
        <v>0.9</v>
      </c>
    </row>
    <row r="79" spans="1:36" ht="39" customHeight="1" x14ac:dyDescent="0.2">
      <c r="A79" s="289"/>
      <c r="B79" s="284"/>
      <c r="C79" s="284"/>
      <c r="D79" s="251"/>
      <c r="E79" s="252"/>
      <c r="F79" s="252"/>
      <c r="G79" s="252"/>
      <c r="H79" s="252"/>
      <c r="I79" s="256"/>
      <c r="J79" s="252"/>
      <c r="K79" s="252"/>
      <c r="L79" s="252"/>
      <c r="M79" s="252"/>
      <c r="N79" s="252"/>
      <c r="O79" s="256"/>
      <c r="P79" s="252"/>
      <c r="Q79" s="252"/>
      <c r="R79" s="252"/>
      <c r="S79" s="252"/>
      <c r="T79" s="252"/>
      <c r="U79" s="256"/>
      <c r="V79" s="252"/>
      <c r="W79" s="252"/>
      <c r="X79" s="252"/>
      <c r="Y79" s="252"/>
      <c r="Z79" s="252"/>
      <c r="AA79" s="256"/>
      <c r="AB79" s="252"/>
      <c r="AC79" s="252"/>
      <c r="AD79" s="252"/>
      <c r="AE79" s="252"/>
      <c r="AF79" s="252"/>
      <c r="AG79" s="256"/>
      <c r="AH79" s="252"/>
    </row>
    <row r="80" spans="1:36" x14ac:dyDescent="0.2">
      <c r="A80" s="17">
        <v>1.5</v>
      </c>
      <c r="B80" s="266" t="s">
        <v>19</v>
      </c>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58" x14ac:dyDescent="0.2">
      <c r="A81" s="30" t="s">
        <v>41</v>
      </c>
      <c r="B81" s="266" t="s">
        <v>20</v>
      </c>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K81" s="31"/>
      <c r="AL81" s="31"/>
      <c r="AM81" s="31"/>
      <c r="AN81" s="31"/>
      <c r="AO81" s="31"/>
      <c r="AP81" s="31"/>
      <c r="AQ81" s="31"/>
      <c r="AR81" s="31"/>
      <c r="AS81" s="31"/>
      <c r="AT81" s="31"/>
      <c r="AU81" s="31"/>
      <c r="BA81" s="32"/>
    </row>
    <row r="82" spans="1:58" ht="63" customHeight="1" x14ac:dyDescent="0.2">
      <c r="A82" s="289"/>
      <c r="B82" s="33" t="s">
        <v>95</v>
      </c>
      <c r="C82" s="34"/>
      <c r="D82" s="24" t="s">
        <v>135</v>
      </c>
      <c r="E82" s="55">
        <v>25</v>
      </c>
      <c r="F82" s="55">
        <v>25</v>
      </c>
      <c r="G82" s="55">
        <v>25</v>
      </c>
      <c r="H82" s="55">
        <v>25</v>
      </c>
      <c r="I82" s="55"/>
      <c r="J82" s="55">
        <v>100</v>
      </c>
      <c r="K82" s="54">
        <v>23</v>
      </c>
      <c r="L82" s="54">
        <v>23</v>
      </c>
      <c r="M82" s="54">
        <v>23</v>
      </c>
      <c r="N82" s="54">
        <v>26</v>
      </c>
      <c r="O82" s="54"/>
      <c r="P82" s="55">
        <v>95</v>
      </c>
      <c r="Q82" s="54">
        <v>22</v>
      </c>
      <c r="R82" s="54">
        <v>22</v>
      </c>
      <c r="S82" s="54">
        <v>22</v>
      </c>
      <c r="T82" s="54">
        <v>24</v>
      </c>
      <c r="U82" s="55"/>
      <c r="V82" s="55">
        <v>90</v>
      </c>
      <c r="W82" s="54">
        <v>21</v>
      </c>
      <c r="X82" s="54">
        <v>21</v>
      </c>
      <c r="Y82" s="54">
        <v>21</v>
      </c>
      <c r="Z82" s="54">
        <v>22</v>
      </c>
      <c r="AA82" s="54"/>
      <c r="AB82" s="55">
        <v>85</v>
      </c>
      <c r="AC82" s="54">
        <v>17</v>
      </c>
      <c r="AD82" s="54">
        <v>17</v>
      </c>
      <c r="AE82" s="54">
        <v>17</v>
      </c>
      <c r="AF82" s="54">
        <v>19</v>
      </c>
      <c r="AG82" s="55"/>
      <c r="AH82" s="55">
        <v>70</v>
      </c>
      <c r="AK82" s="31"/>
      <c r="AL82" s="31"/>
      <c r="AM82" s="31"/>
      <c r="AN82" s="31"/>
      <c r="AO82" s="31"/>
      <c r="AP82" s="31"/>
      <c r="AQ82" s="31"/>
      <c r="AR82" s="31"/>
      <c r="AS82" s="31"/>
      <c r="AT82" s="31"/>
      <c r="AU82" s="31"/>
    </row>
    <row r="83" spans="1:58" ht="15.75" customHeight="1" x14ac:dyDescent="0.2">
      <c r="A83" s="289"/>
      <c r="B83" s="284" t="s">
        <v>84</v>
      </c>
      <c r="C83" s="291"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c r="AJ83" s="31"/>
    </row>
    <row r="84" spans="1:58" ht="15.75" customHeight="1" x14ac:dyDescent="0.2">
      <c r="A84" s="289"/>
      <c r="B84" s="284"/>
      <c r="C84" s="291"/>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c r="AJ84" s="31"/>
    </row>
    <row r="85" spans="1:58" x14ac:dyDescent="0.2">
      <c r="A85" s="289"/>
      <c r="B85" s="284"/>
      <c r="C85" s="291"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c r="AJ85" s="31"/>
    </row>
    <row r="86" spans="1:58" x14ac:dyDescent="0.2">
      <c r="A86" s="289"/>
      <c r="B86" s="284"/>
      <c r="C86" s="291"/>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c r="AJ86" s="31"/>
    </row>
    <row r="87" spans="1:58" x14ac:dyDescent="0.2">
      <c r="A87" s="289"/>
      <c r="B87" s="284"/>
      <c r="C87" s="291"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c r="AJ87" s="31"/>
      <c r="AK87" s="37"/>
      <c r="AL87" s="37"/>
      <c r="AM87" s="37"/>
      <c r="AN87" s="37"/>
      <c r="AO87" s="37"/>
      <c r="AP87" s="37"/>
      <c r="AQ87" s="37"/>
      <c r="AU87" s="37"/>
      <c r="AX87" s="37"/>
    </row>
    <row r="88" spans="1:58" x14ac:dyDescent="0.2">
      <c r="A88" s="289"/>
      <c r="B88" s="284"/>
      <c r="C88" s="291"/>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58" x14ac:dyDescent="0.2">
      <c r="A89" s="289"/>
      <c r="B89" s="284" t="s">
        <v>96</v>
      </c>
      <c r="C89" s="291"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58" x14ac:dyDescent="0.2">
      <c r="A90" s="28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c r="AJ90" s="31"/>
      <c r="AK90" s="31"/>
      <c r="AL90" s="31"/>
      <c r="AM90" s="31"/>
      <c r="AN90" s="31"/>
      <c r="AO90" s="31"/>
      <c r="AP90" s="31"/>
      <c r="AT90" s="31"/>
      <c r="AU90" s="31"/>
      <c r="AV90" s="31"/>
      <c r="AW90" s="31"/>
      <c r="AX90" s="31"/>
      <c r="AY90" s="31"/>
      <c r="AZ90" s="31"/>
      <c r="BA90" s="31"/>
      <c r="BB90" s="31"/>
      <c r="BC90" s="31"/>
      <c r="BD90" s="31"/>
      <c r="BE90" s="31"/>
      <c r="BF90" s="31"/>
    </row>
    <row r="91" spans="1:58" x14ac:dyDescent="0.2">
      <c r="A91" s="289"/>
      <c r="B91" s="285"/>
      <c r="C91" s="291"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58" x14ac:dyDescent="0.2">
      <c r="A92" s="28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c r="AJ92" s="37"/>
      <c r="AK92" s="37"/>
      <c r="AL92" s="37"/>
      <c r="AM92" s="37"/>
      <c r="AN92" s="37"/>
      <c r="AO92" s="37"/>
      <c r="AP92" s="37"/>
      <c r="AT92" s="38"/>
      <c r="AZ92" s="38"/>
    </row>
    <row r="93" spans="1:58" x14ac:dyDescent="0.2">
      <c r="A93" s="289"/>
      <c r="B93" s="285"/>
      <c r="C93" s="291"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c r="AK93" s="37"/>
      <c r="AL93" s="37"/>
      <c r="AM93" s="37"/>
      <c r="AN93" s="37"/>
      <c r="AO93" s="37"/>
      <c r="AP93" s="37"/>
      <c r="AT93" s="37"/>
    </row>
    <row r="94" spans="1:58" x14ac:dyDescent="0.2">
      <c r="A94" s="28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c r="AK94" s="39"/>
    </row>
    <row r="95" spans="1:58" ht="43.2" customHeight="1" x14ac:dyDescent="0.2">
      <c r="A95" s="289"/>
      <c r="B95" s="33" t="s">
        <v>97</v>
      </c>
      <c r="C95" s="25" t="s">
        <v>6</v>
      </c>
      <c r="D95" s="24" t="s">
        <v>135</v>
      </c>
      <c r="E95" s="56">
        <v>1875</v>
      </c>
      <c r="F95" s="56">
        <v>1875</v>
      </c>
      <c r="G95" s="56">
        <v>1875</v>
      </c>
      <c r="H95" s="56">
        <v>1875</v>
      </c>
      <c r="I95" s="53"/>
      <c r="J95" s="53">
        <v>7500</v>
      </c>
      <c r="K95" s="53">
        <v>1850</v>
      </c>
      <c r="L95" s="53">
        <v>1850</v>
      </c>
      <c r="M95" s="53">
        <v>1850</v>
      </c>
      <c r="N95" s="53">
        <v>1850</v>
      </c>
      <c r="O95" s="53"/>
      <c r="P95" s="53">
        <v>7400</v>
      </c>
      <c r="Q95" s="56">
        <v>1825</v>
      </c>
      <c r="R95" s="56">
        <v>1825</v>
      </c>
      <c r="S95" s="56">
        <v>1825</v>
      </c>
      <c r="T95" s="56">
        <v>1825</v>
      </c>
      <c r="U95" s="53"/>
      <c r="V95" s="53">
        <v>7300</v>
      </c>
      <c r="W95" s="56">
        <v>1800</v>
      </c>
      <c r="X95" s="56">
        <v>1800</v>
      </c>
      <c r="Y95" s="56">
        <v>1800</v>
      </c>
      <c r="Z95" s="56">
        <v>1800</v>
      </c>
      <c r="AA95" s="56"/>
      <c r="AB95" s="53">
        <v>7200</v>
      </c>
      <c r="AC95" s="56">
        <v>1775</v>
      </c>
      <c r="AD95" s="56">
        <v>1775</v>
      </c>
      <c r="AE95" s="56">
        <v>1775</v>
      </c>
      <c r="AF95" s="56">
        <v>1775</v>
      </c>
      <c r="AG95" s="53"/>
      <c r="AH95" s="53">
        <v>7100</v>
      </c>
    </row>
    <row r="96" spans="1:58" ht="15.75" customHeight="1" x14ac:dyDescent="0.2">
      <c r="A96" s="289"/>
      <c r="B96" s="284" t="s">
        <v>85</v>
      </c>
      <c r="C96" s="291"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91"/>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x14ac:dyDescent="0.2">
      <c r="A98" s="289"/>
      <c r="B98" s="284"/>
      <c r="C98" s="291"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x14ac:dyDescent="0.2">
      <c r="A99" s="289"/>
      <c r="B99" s="284"/>
      <c r="C99" s="291"/>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 customHeight="1" x14ac:dyDescent="0.2">
      <c r="A100" s="289"/>
      <c r="B100" s="284"/>
      <c r="C100" s="291"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x14ac:dyDescent="0.2">
      <c r="A101" s="289"/>
      <c r="B101" s="284"/>
      <c r="C101" s="291"/>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91"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91"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91"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ht="14.4" x14ac:dyDescent="0.3">
      <c r="A108" s="17" t="s">
        <v>21</v>
      </c>
      <c r="B108" s="274" t="s">
        <v>22</v>
      </c>
      <c r="C108" s="275"/>
      <c r="D108" s="276"/>
      <c r="E108" s="276"/>
      <c r="F108" s="276"/>
      <c r="G108" s="276"/>
      <c r="H108" s="276"/>
      <c r="I108" s="276"/>
      <c r="J108" s="276"/>
      <c r="K108" s="276"/>
      <c r="L108" s="276"/>
      <c r="M108" s="276"/>
      <c r="N108" s="276"/>
      <c r="O108" s="276"/>
      <c r="P108" s="276"/>
      <c r="Q108" s="276"/>
      <c r="R108" s="276"/>
      <c r="S108" s="276"/>
      <c r="T108" s="276"/>
      <c r="U108" s="276"/>
      <c r="V108" s="276"/>
      <c r="W108" s="276"/>
      <c r="X108" s="276"/>
      <c r="Y108" s="276"/>
      <c r="Z108" s="276"/>
      <c r="AA108" s="276"/>
      <c r="AB108" s="276"/>
      <c r="AC108" s="276"/>
      <c r="AD108" s="276"/>
      <c r="AE108" s="276"/>
      <c r="AF108" s="276"/>
      <c r="AG108" s="276"/>
      <c r="AH108" s="277"/>
    </row>
    <row r="109" spans="1:34" x14ac:dyDescent="0.2">
      <c r="A109" s="273"/>
      <c r="B109" s="298" t="s">
        <v>23</v>
      </c>
      <c r="C109" s="298"/>
      <c r="D109" s="24" t="s">
        <v>135</v>
      </c>
      <c r="E109" s="23">
        <v>275</v>
      </c>
      <c r="F109" s="23">
        <v>275</v>
      </c>
      <c r="G109" s="23">
        <v>275</v>
      </c>
      <c r="H109" s="23">
        <v>275</v>
      </c>
      <c r="I109" s="26"/>
      <c r="J109" s="41">
        <v>1100</v>
      </c>
      <c r="K109" s="23">
        <v>275</v>
      </c>
      <c r="L109" s="23">
        <v>275</v>
      </c>
      <c r="M109" s="23">
        <v>275</v>
      </c>
      <c r="N109" s="23">
        <v>275</v>
      </c>
      <c r="O109" s="26"/>
      <c r="P109" s="41">
        <v>1100</v>
      </c>
      <c r="Q109" s="23">
        <v>275</v>
      </c>
      <c r="R109" s="23">
        <v>275</v>
      </c>
      <c r="S109" s="23">
        <v>275</v>
      </c>
      <c r="T109" s="23">
        <v>275</v>
      </c>
      <c r="U109" s="26"/>
      <c r="V109" s="41">
        <v>1100</v>
      </c>
      <c r="W109" s="23">
        <v>275</v>
      </c>
      <c r="X109" s="23">
        <v>275</v>
      </c>
      <c r="Y109" s="23">
        <v>275</v>
      </c>
      <c r="Z109" s="23">
        <v>275</v>
      </c>
      <c r="AA109" s="26"/>
      <c r="AB109" s="41">
        <v>1100</v>
      </c>
      <c r="AC109" s="23">
        <v>275</v>
      </c>
      <c r="AD109" s="23">
        <v>275</v>
      </c>
      <c r="AE109" s="23">
        <v>275</v>
      </c>
      <c r="AF109" s="23">
        <v>275</v>
      </c>
      <c r="AG109" s="26"/>
      <c r="AH109" s="41">
        <v>1100</v>
      </c>
    </row>
    <row r="110" spans="1:34" x14ac:dyDescent="0.2">
      <c r="A110" s="273"/>
      <c r="B110" s="284" t="s">
        <v>99</v>
      </c>
      <c r="C110" s="285"/>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285"/>
      <c r="C111" s="285"/>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20.25" customHeight="1" x14ac:dyDescent="0.2">
      <c r="A112" s="273"/>
      <c r="B112" s="284" t="s">
        <v>136</v>
      </c>
      <c r="C112" s="291"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91"/>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91"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91"/>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91"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91"/>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91"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91"/>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91"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91"/>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91"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91"/>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30.75" customHeight="1" x14ac:dyDescent="0.2">
      <c r="A124" s="17" t="s">
        <v>24</v>
      </c>
      <c r="B124" s="279" t="s">
        <v>25</v>
      </c>
      <c r="C124" s="280"/>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99" t="s">
        <v>26</v>
      </c>
      <c r="D125" s="272" t="s">
        <v>78</v>
      </c>
      <c r="E125" s="27">
        <v>5.0000000000000001E-3</v>
      </c>
      <c r="F125" s="27">
        <v>5.0000000000000001E-3</v>
      </c>
      <c r="G125" s="27">
        <v>5.0000000000000001E-3</v>
      </c>
      <c r="H125" s="27">
        <v>5.0000000000000001E-3</v>
      </c>
      <c r="I125" s="26"/>
      <c r="J125" s="27">
        <v>5.0000000000000001E-3</v>
      </c>
      <c r="K125" s="27">
        <v>5.0000000000000001E-3</v>
      </c>
      <c r="L125" s="27">
        <v>5.0000000000000001E-3</v>
      </c>
      <c r="M125" s="27">
        <v>5.0000000000000001E-3</v>
      </c>
      <c r="N125" s="27">
        <v>5.0000000000000001E-3</v>
      </c>
      <c r="O125" s="26"/>
      <c r="P125" s="27">
        <v>5.0000000000000001E-3</v>
      </c>
      <c r="Q125" s="27">
        <v>5.0000000000000001E-3</v>
      </c>
      <c r="R125" s="27">
        <v>5.0000000000000001E-3</v>
      </c>
      <c r="S125" s="27">
        <v>5.0000000000000001E-3</v>
      </c>
      <c r="T125" s="27">
        <v>5.0000000000000001E-3</v>
      </c>
      <c r="U125" s="26"/>
      <c r="V125" s="27">
        <v>5.0000000000000001E-3</v>
      </c>
      <c r="W125" s="27">
        <v>5.0000000000000001E-3</v>
      </c>
      <c r="X125" s="27">
        <v>5.0000000000000001E-3</v>
      </c>
      <c r="Y125" s="27">
        <v>5.0000000000000001E-3</v>
      </c>
      <c r="Z125" s="27">
        <v>5.0000000000000001E-3</v>
      </c>
      <c r="AA125" s="26"/>
      <c r="AB125" s="27">
        <v>5.0000000000000001E-3</v>
      </c>
      <c r="AC125" s="27">
        <v>5.0000000000000001E-3</v>
      </c>
      <c r="AD125" s="27">
        <v>5.0000000000000001E-3</v>
      </c>
      <c r="AE125" s="27">
        <v>5.0000000000000001E-3</v>
      </c>
      <c r="AF125" s="27">
        <v>5.0000000000000001E-3</v>
      </c>
      <c r="AG125" s="26"/>
      <c r="AH125" s="27">
        <v>5.0000000000000001E-3</v>
      </c>
    </row>
    <row r="126" spans="1:34" ht="15.75" customHeight="1" x14ac:dyDescent="0.2">
      <c r="A126" s="289"/>
      <c r="B126" s="284"/>
      <c r="C126" s="299"/>
      <c r="D126" s="251"/>
      <c r="E126" s="27"/>
      <c r="F126" s="27"/>
      <c r="G126" s="27"/>
      <c r="H126" s="27"/>
      <c r="I126" s="26"/>
      <c r="J126" s="27"/>
      <c r="K126" s="27"/>
      <c r="L126" s="27"/>
      <c r="M126" s="27"/>
      <c r="N126" s="27"/>
      <c r="O126" s="26"/>
      <c r="P126" s="27"/>
      <c r="Q126" s="27"/>
      <c r="R126" s="27"/>
      <c r="S126" s="27"/>
      <c r="T126" s="27"/>
      <c r="U126" s="26"/>
      <c r="V126" s="27"/>
      <c r="W126" s="27"/>
      <c r="X126" s="27"/>
      <c r="Y126" s="27"/>
      <c r="Z126" s="27"/>
      <c r="AA126" s="26"/>
      <c r="AB126" s="27"/>
      <c r="AC126" s="27"/>
      <c r="AD126" s="27"/>
      <c r="AE126" s="27"/>
      <c r="AF126" s="27"/>
      <c r="AG126" s="26"/>
      <c r="AH126" s="27"/>
    </row>
    <row r="127" spans="1:34" ht="15.75" customHeight="1" x14ac:dyDescent="0.2">
      <c r="A127" s="289"/>
      <c r="B127" s="284"/>
      <c r="C127" s="299"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289"/>
      <c r="B128" s="284"/>
      <c r="C128" s="299"/>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289"/>
      <c r="B129" s="284"/>
      <c r="C129" s="299"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289"/>
      <c r="B130" s="284"/>
      <c r="C130" s="299"/>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289"/>
      <c r="B131" s="284" t="s">
        <v>138</v>
      </c>
      <c r="C131" s="291" t="s">
        <v>26</v>
      </c>
      <c r="D131" s="272" t="s">
        <v>78</v>
      </c>
      <c r="E131" s="254">
        <v>4.0000000000000001E-3</v>
      </c>
      <c r="F131" s="254">
        <v>4.0000000000000001E-3</v>
      </c>
      <c r="G131" s="254">
        <v>4.0000000000000001E-3</v>
      </c>
      <c r="H131" s="254">
        <v>4.0000000000000001E-3</v>
      </c>
      <c r="I131" s="26"/>
      <c r="J131" s="254">
        <v>4.0000000000000001E-3</v>
      </c>
      <c r="K131" s="254">
        <v>4.0000000000000001E-3</v>
      </c>
      <c r="L131" s="254">
        <v>4.0000000000000001E-3</v>
      </c>
      <c r="M131" s="254">
        <v>4.0000000000000001E-3</v>
      </c>
      <c r="N131" s="254">
        <v>4.0000000000000001E-3</v>
      </c>
      <c r="O131" s="26"/>
      <c r="P131" s="254">
        <v>4.0000000000000001E-3</v>
      </c>
      <c r="Q131" s="254">
        <v>4.0000000000000001E-3</v>
      </c>
      <c r="R131" s="254">
        <v>4.0000000000000001E-3</v>
      </c>
      <c r="S131" s="254">
        <v>4.0000000000000001E-3</v>
      </c>
      <c r="T131" s="254">
        <v>4.0000000000000001E-3</v>
      </c>
      <c r="U131" s="26"/>
      <c r="V131" s="254">
        <v>4.0000000000000001E-3</v>
      </c>
      <c r="W131" s="254">
        <v>4.0000000000000001E-3</v>
      </c>
      <c r="X131" s="254">
        <v>4.0000000000000001E-3</v>
      </c>
      <c r="Y131" s="254">
        <v>4.0000000000000001E-3</v>
      </c>
      <c r="Z131" s="254">
        <v>4.0000000000000001E-3</v>
      </c>
      <c r="AA131" s="26"/>
      <c r="AB131" s="254">
        <v>4.0000000000000001E-3</v>
      </c>
      <c r="AC131" s="254">
        <v>4.0000000000000001E-3</v>
      </c>
      <c r="AD131" s="254">
        <v>4.0000000000000001E-3</v>
      </c>
      <c r="AE131" s="254">
        <v>4.0000000000000001E-3</v>
      </c>
      <c r="AF131" s="254">
        <v>4.0000000000000001E-3</v>
      </c>
      <c r="AG131" s="26"/>
      <c r="AH131" s="254">
        <v>4.0000000000000001E-3</v>
      </c>
    </row>
    <row r="132" spans="1:34" ht="15.75" customHeight="1" x14ac:dyDescent="0.2">
      <c r="A132" s="289"/>
      <c r="B132" s="284"/>
      <c r="C132" s="291"/>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289"/>
      <c r="B133" s="284"/>
      <c r="C133" s="291"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289"/>
      <c r="B134" s="284"/>
      <c r="C134" s="291"/>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289"/>
      <c r="B135" s="284"/>
      <c r="C135" s="291" t="s">
        <v>8</v>
      </c>
      <c r="D135" s="272" t="s">
        <v>78</v>
      </c>
      <c r="E135" s="254">
        <v>8.0000000000000002E-3</v>
      </c>
      <c r="F135" s="254">
        <v>8.0000000000000002E-3</v>
      </c>
      <c r="G135" s="254">
        <v>8.0000000000000002E-3</v>
      </c>
      <c r="H135" s="254">
        <v>8.0000000000000002E-3</v>
      </c>
      <c r="I135" s="26"/>
      <c r="J135" s="254">
        <v>8.0000000000000002E-3</v>
      </c>
      <c r="K135" s="254">
        <v>8.0000000000000002E-3</v>
      </c>
      <c r="L135" s="254">
        <v>8.0000000000000002E-3</v>
      </c>
      <c r="M135" s="254">
        <v>8.0000000000000002E-3</v>
      </c>
      <c r="N135" s="254">
        <v>8.0000000000000002E-3</v>
      </c>
      <c r="O135" s="26"/>
      <c r="P135" s="254">
        <v>8.0000000000000002E-3</v>
      </c>
      <c r="Q135" s="254">
        <v>8.0000000000000002E-3</v>
      </c>
      <c r="R135" s="254">
        <v>8.0000000000000002E-3</v>
      </c>
      <c r="S135" s="254">
        <v>8.0000000000000002E-3</v>
      </c>
      <c r="T135" s="254">
        <v>8.0000000000000002E-3</v>
      </c>
      <c r="U135" s="26"/>
      <c r="V135" s="254">
        <v>8.0000000000000002E-3</v>
      </c>
      <c r="W135" s="254">
        <v>8.0000000000000002E-3</v>
      </c>
      <c r="X135" s="254">
        <v>8.0000000000000002E-3</v>
      </c>
      <c r="Y135" s="254">
        <v>8.0000000000000002E-3</v>
      </c>
      <c r="Z135" s="254">
        <v>8.0000000000000002E-3</v>
      </c>
      <c r="AA135" s="26"/>
      <c r="AB135" s="254">
        <v>8.0000000000000002E-3</v>
      </c>
      <c r="AC135" s="254">
        <v>8.0000000000000002E-3</v>
      </c>
      <c r="AD135" s="254">
        <v>8.0000000000000002E-3</v>
      </c>
      <c r="AE135" s="254">
        <v>8.0000000000000002E-3</v>
      </c>
      <c r="AF135" s="254">
        <v>8.0000000000000002E-3</v>
      </c>
      <c r="AG135" s="26"/>
      <c r="AH135" s="254">
        <v>8.0000000000000002E-3</v>
      </c>
    </row>
    <row r="136" spans="1:34" ht="15.75" customHeight="1" x14ac:dyDescent="0.2">
      <c r="A136" s="289"/>
      <c r="B136" s="284"/>
      <c r="C136" s="291"/>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289"/>
      <c r="B137" s="284" t="s">
        <v>87</v>
      </c>
      <c r="C137" s="284" t="s">
        <v>6</v>
      </c>
      <c r="D137" s="272" t="s">
        <v>78</v>
      </c>
      <c r="E137" s="254">
        <v>1E-4</v>
      </c>
      <c r="F137" s="254">
        <v>1E-4</v>
      </c>
      <c r="G137" s="254">
        <v>1E-4</v>
      </c>
      <c r="H137" s="254">
        <v>1E-4</v>
      </c>
      <c r="I137" s="26"/>
      <c r="J137" s="254">
        <v>1E-4</v>
      </c>
      <c r="K137" s="254">
        <v>1E-4</v>
      </c>
      <c r="L137" s="254">
        <v>1E-4</v>
      </c>
      <c r="M137" s="254">
        <v>1E-4</v>
      </c>
      <c r="N137" s="254">
        <v>1E-4</v>
      </c>
      <c r="O137" s="26"/>
      <c r="P137" s="254">
        <v>1E-4</v>
      </c>
      <c r="Q137" s="254">
        <v>1E-4</v>
      </c>
      <c r="R137" s="254">
        <v>1E-4</v>
      </c>
      <c r="S137" s="254">
        <v>1E-4</v>
      </c>
      <c r="T137" s="254">
        <v>1E-4</v>
      </c>
      <c r="U137" s="26"/>
      <c r="V137" s="254">
        <v>1E-4</v>
      </c>
      <c r="W137" s="254">
        <v>1E-4</v>
      </c>
      <c r="X137" s="254">
        <v>1E-4</v>
      </c>
      <c r="Y137" s="254">
        <v>1E-4</v>
      </c>
      <c r="Z137" s="254">
        <v>1E-4</v>
      </c>
      <c r="AA137" s="26"/>
      <c r="AB137" s="254">
        <v>1E-4</v>
      </c>
      <c r="AC137" s="254">
        <v>1E-4</v>
      </c>
      <c r="AD137" s="254">
        <v>1E-4</v>
      </c>
      <c r="AE137" s="254">
        <v>1E-4</v>
      </c>
      <c r="AF137" s="254">
        <v>1E-4</v>
      </c>
      <c r="AG137" s="26"/>
      <c r="AH137" s="254">
        <v>1E-4</v>
      </c>
    </row>
    <row r="138" spans="1:34" ht="15.75" customHeight="1" x14ac:dyDescent="0.2">
      <c r="A138" s="289"/>
      <c r="B138" s="284"/>
      <c r="C138" s="284"/>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x14ac:dyDescent="0.2">
      <c r="A139" s="289"/>
      <c r="B139" s="284"/>
      <c r="C139" s="284"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x14ac:dyDescent="0.2">
      <c r="A140" s="289"/>
      <c r="B140" s="284"/>
      <c r="C140" s="284"/>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x14ac:dyDescent="0.2">
      <c r="A141" s="289"/>
      <c r="B141" s="284"/>
      <c r="C141" s="284"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x14ac:dyDescent="0.2">
      <c r="A142" s="289"/>
      <c r="B142" s="284"/>
      <c r="C142" s="284"/>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ht="15.75" customHeight="1" x14ac:dyDescent="0.2">
      <c r="A143" s="289"/>
      <c r="B143" s="284" t="s">
        <v>139</v>
      </c>
      <c r="C143" s="42" t="s">
        <v>6</v>
      </c>
      <c r="D143" s="24" t="s">
        <v>135</v>
      </c>
      <c r="E143" s="23">
        <v>5</v>
      </c>
      <c r="F143" s="23">
        <v>5</v>
      </c>
      <c r="G143" s="23">
        <v>5</v>
      </c>
      <c r="H143" s="23">
        <v>5</v>
      </c>
      <c r="I143" s="26"/>
      <c r="J143" s="41">
        <v>20</v>
      </c>
      <c r="K143" s="23">
        <v>5</v>
      </c>
      <c r="L143" s="23">
        <v>5</v>
      </c>
      <c r="M143" s="23">
        <v>5</v>
      </c>
      <c r="N143" s="23">
        <v>5</v>
      </c>
      <c r="O143" s="26"/>
      <c r="P143" s="41">
        <v>20</v>
      </c>
      <c r="Q143" s="23">
        <v>5</v>
      </c>
      <c r="R143" s="23">
        <v>5</v>
      </c>
      <c r="S143" s="23">
        <v>5</v>
      </c>
      <c r="T143" s="23">
        <v>5</v>
      </c>
      <c r="U143" s="26"/>
      <c r="V143" s="41">
        <v>20</v>
      </c>
      <c r="W143" s="23">
        <v>5</v>
      </c>
      <c r="X143" s="23">
        <v>5</v>
      </c>
      <c r="Y143" s="23">
        <v>5</v>
      </c>
      <c r="Z143" s="23">
        <v>5</v>
      </c>
      <c r="AA143" s="26"/>
      <c r="AB143" s="41">
        <v>20</v>
      </c>
      <c r="AC143" s="23">
        <v>5</v>
      </c>
      <c r="AD143" s="23">
        <v>5</v>
      </c>
      <c r="AE143" s="23">
        <v>5</v>
      </c>
      <c r="AF143" s="23">
        <v>5</v>
      </c>
      <c r="AG143" s="26"/>
      <c r="AH143" s="41">
        <v>20</v>
      </c>
    </row>
    <row r="144" spans="1:34" ht="30.6" x14ac:dyDescent="0.2">
      <c r="A144" s="289"/>
      <c r="B144" s="284"/>
      <c r="C144" s="42"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ht="27.75" customHeight="1" x14ac:dyDescent="0.2">
      <c r="A145" s="289"/>
      <c r="B145" s="284"/>
      <c r="C145" s="42" t="s">
        <v>8</v>
      </c>
      <c r="D145" s="24" t="s">
        <v>135</v>
      </c>
      <c r="E145" s="23">
        <v>2</v>
      </c>
      <c r="F145" s="23">
        <v>2</v>
      </c>
      <c r="G145" s="23">
        <v>2</v>
      </c>
      <c r="H145" s="23">
        <v>4</v>
      </c>
      <c r="I145" s="26"/>
      <c r="J145" s="41">
        <v>10</v>
      </c>
      <c r="K145" s="23">
        <v>2</v>
      </c>
      <c r="L145" s="23">
        <v>2</v>
      </c>
      <c r="M145" s="23">
        <v>2</v>
      </c>
      <c r="N145" s="23">
        <v>4</v>
      </c>
      <c r="O145" s="26"/>
      <c r="P145" s="41">
        <v>10</v>
      </c>
      <c r="Q145" s="23">
        <v>2</v>
      </c>
      <c r="R145" s="23">
        <v>2</v>
      </c>
      <c r="S145" s="23">
        <v>2</v>
      </c>
      <c r="T145" s="23">
        <v>4</v>
      </c>
      <c r="U145" s="26"/>
      <c r="V145" s="41">
        <v>10</v>
      </c>
      <c r="W145" s="23">
        <v>2</v>
      </c>
      <c r="X145" s="23">
        <v>2</v>
      </c>
      <c r="Y145" s="23">
        <v>2</v>
      </c>
      <c r="Z145" s="23">
        <v>4</v>
      </c>
      <c r="AA145" s="26"/>
      <c r="AB145" s="41">
        <v>10</v>
      </c>
      <c r="AC145" s="23">
        <v>2</v>
      </c>
      <c r="AD145" s="23">
        <v>2</v>
      </c>
      <c r="AE145" s="23">
        <v>2</v>
      </c>
      <c r="AF145" s="23">
        <v>4</v>
      </c>
      <c r="AG145" s="26"/>
      <c r="AH145" s="41">
        <v>10</v>
      </c>
    </row>
    <row r="146" spans="1:34" ht="15.75" customHeight="1" x14ac:dyDescent="0.2">
      <c r="A146" s="289"/>
      <c r="B146" s="284" t="s">
        <v>140</v>
      </c>
      <c r="C146" s="291"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52"/>
      <c r="AH146" s="252">
        <v>0.5</v>
      </c>
    </row>
    <row r="147" spans="1:34" ht="15.75" customHeight="1" x14ac:dyDescent="0.2">
      <c r="A147" s="289"/>
      <c r="B147" s="284"/>
      <c r="C147" s="291"/>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52"/>
      <c r="AH147" s="252"/>
    </row>
    <row r="148" spans="1:34" ht="15.75" customHeight="1"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52"/>
      <c r="AH148" s="252">
        <v>1</v>
      </c>
    </row>
    <row r="149" spans="1:34" ht="15.75" customHeight="1"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52"/>
      <c r="AH149" s="252"/>
    </row>
    <row r="150" spans="1:34" ht="15.75" customHeight="1" x14ac:dyDescent="0.2">
      <c r="A150" s="289"/>
      <c r="B150" s="284"/>
      <c r="C150" s="291"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52"/>
      <c r="AH150" s="252">
        <v>0.5</v>
      </c>
    </row>
    <row r="151" spans="1:34" ht="15.75" customHeight="1" x14ac:dyDescent="0.2">
      <c r="A151" s="289"/>
      <c r="B151" s="284"/>
      <c r="C151" s="291"/>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52"/>
      <c r="AH151" s="252"/>
    </row>
    <row r="152" spans="1:34" x14ac:dyDescent="0.2">
      <c r="A152" s="17">
        <v>1.6</v>
      </c>
      <c r="B152" s="300" t="s">
        <v>76</v>
      </c>
      <c r="C152" s="275"/>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273"/>
      <c r="B153" s="284" t="s">
        <v>126</v>
      </c>
      <c r="C153" s="291" t="s">
        <v>26</v>
      </c>
      <c r="D153" s="272" t="s">
        <v>78</v>
      </c>
      <c r="E153" s="254">
        <v>0.05</v>
      </c>
      <c r="F153" s="254">
        <v>0.05</v>
      </c>
      <c r="G153" s="254">
        <v>0.05</v>
      </c>
      <c r="H153" s="254">
        <v>0.05</v>
      </c>
      <c r="I153" s="29"/>
      <c r="J153" s="254">
        <v>0.05</v>
      </c>
      <c r="K153" s="254">
        <v>4.9000000000000002E-2</v>
      </c>
      <c r="L153" s="254">
        <v>4.9000000000000002E-2</v>
      </c>
      <c r="M153" s="254">
        <v>4.9000000000000002E-2</v>
      </c>
      <c r="N153" s="254">
        <v>4.9000000000000002E-2</v>
      </c>
      <c r="O153" s="27"/>
      <c r="P153" s="254">
        <v>4.9000000000000002E-2</v>
      </c>
      <c r="Q153" s="254">
        <v>4.8000000000000001E-2</v>
      </c>
      <c r="R153" s="254">
        <v>4.8000000000000001E-2</v>
      </c>
      <c r="S153" s="254">
        <v>4.8000000000000001E-2</v>
      </c>
      <c r="T153" s="254">
        <v>4.8000000000000001E-2</v>
      </c>
      <c r="U153" s="27"/>
      <c r="V153" s="254">
        <v>4.8000000000000001E-2</v>
      </c>
      <c r="W153" s="254">
        <v>4.7E-2</v>
      </c>
      <c r="X153" s="254">
        <v>4.7E-2</v>
      </c>
      <c r="Y153" s="254">
        <v>4.7E-2</v>
      </c>
      <c r="Z153" s="254">
        <v>4.7E-2</v>
      </c>
      <c r="AA153" s="27"/>
      <c r="AB153" s="254">
        <v>4.7E-2</v>
      </c>
      <c r="AC153" s="254">
        <v>4.5999999999999999E-2</v>
      </c>
      <c r="AD153" s="254">
        <v>4.5999999999999999E-2</v>
      </c>
      <c r="AE153" s="254">
        <v>4.5999999999999999E-2</v>
      </c>
      <c r="AF153" s="254">
        <v>4.5999999999999999E-2</v>
      </c>
      <c r="AG153" s="27"/>
      <c r="AH153" s="254">
        <v>4.5999999999999999E-2</v>
      </c>
    </row>
    <row r="154" spans="1:34" ht="15.75" customHeight="1" x14ac:dyDescent="0.2">
      <c r="A154" s="273"/>
      <c r="B154" s="284"/>
      <c r="C154" s="291"/>
      <c r="D154" s="251"/>
      <c r="E154" s="254"/>
      <c r="F154" s="254"/>
      <c r="G154" s="254"/>
      <c r="H154" s="254"/>
      <c r="I154" s="26"/>
      <c r="J154" s="254"/>
      <c r="K154" s="254"/>
      <c r="L154" s="254"/>
      <c r="M154" s="254"/>
      <c r="N154" s="254"/>
      <c r="O154" s="27"/>
      <c r="P154" s="254"/>
      <c r="Q154" s="254"/>
      <c r="R154" s="254"/>
      <c r="S154" s="254"/>
      <c r="T154" s="254"/>
      <c r="U154" s="27"/>
      <c r="V154" s="254"/>
      <c r="W154" s="254"/>
      <c r="X154" s="254"/>
      <c r="Y154" s="254"/>
      <c r="Z154" s="254"/>
      <c r="AA154" s="27"/>
      <c r="AB154" s="254"/>
      <c r="AC154" s="254"/>
      <c r="AD154" s="254"/>
      <c r="AE154" s="254"/>
      <c r="AF154" s="254"/>
      <c r="AG154" s="27"/>
      <c r="AH154" s="254"/>
    </row>
    <row r="155" spans="1:34" ht="15.75" customHeight="1" x14ac:dyDescent="0.2">
      <c r="A155" s="273"/>
      <c r="B155" s="284"/>
      <c r="C155" s="291" t="s">
        <v>7</v>
      </c>
      <c r="D155" s="272" t="s">
        <v>78</v>
      </c>
      <c r="E155" s="254">
        <v>2.5000000000000001E-2</v>
      </c>
      <c r="F155" s="254">
        <v>2.5000000000000001E-2</v>
      </c>
      <c r="G155" s="254">
        <v>2.5000000000000001E-2</v>
      </c>
      <c r="H155" s="254">
        <v>2.5000000000000001E-2</v>
      </c>
      <c r="I155" s="26"/>
      <c r="J155" s="254">
        <v>2.5000000000000001E-2</v>
      </c>
      <c r="K155" s="254">
        <v>2.4E-2</v>
      </c>
      <c r="L155" s="254">
        <v>2.4E-2</v>
      </c>
      <c r="M155" s="254">
        <v>2.4E-2</v>
      </c>
      <c r="N155" s="254">
        <v>2.4E-2</v>
      </c>
      <c r="O155" s="26"/>
      <c r="P155" s="254">
        <v>2.4E-2</v>
      </c>
      <c r="Q155" s="254">
        <v>2.3E-2</v>
      </c>
      <c r="R155" s="254">
        <v>2.3E-2</v>
      </c>
      <c r="S155" s="254">
        <v>2.3E-2</v>
      </c>
      <c r="T155" s="254">
        <v>2.3E-2</v>
      </c>
      <c r="U155" s="26"/>
      <c r="V155" s="254">
        <v>2.3E-2</v>
      </c>
      <c r="W155" s="254">
        <v>2.1999999999999999E-2</v>
      </c>
      <c r="X155" s="254">
        <v>2.1999999999999999E-2</v>
      </c>
      <c r="Y155" s="254">
        <v>2.1999999999999999E-2</v>
      </c>
      <c r="Z155" s="254">
        <v>2.1999999999999999E-2</v>
      </c>
      <c r="AA155" s="26"/>
      <c r="AB155" s="254">
        <v>2.1999999999999999E-2</v>
      </c>
      <c r="AC155" s="254">
        <v>2.1000000000000001E-2</v>
      </c>
      <c r="AD155" s="254">
        <v>2.1000000000000001E-2</v>
      </c>
      <c r="AE155" s="254">
        <v>2.1000000000000001E-2</v>
      </c>
      <c r="AF155" s="254">
        <v>2.1000000000000001E-2</v>
      </c>
      <c r="AG155" s="26"/>
      <c r="AH155" s="254">
        <v>2.1000000000000001E-2</v>
      </c>
    </row>
    <row r="156" spans="1:34" ht="15.75" customHeight="1" x14ac:dyDescent="0.2">
      <c r="A156" s="273"/>
      <c r="B156" s="284"/>
      <c r="C156" s="291"/>
      <c r="D156" s="251"/>
      <c r="E156" s="254"/>
      <c r="F156" s="254"/>
      <c r="G156" s="254"/>
      <c r="H156" s="254"/>
      <c r="I156" s="26"/>
      <c r="J156" s="254"/>
      <c r="K156" s="254"/>
      <c r="L156" s="254"/>
      <c r="M156" s="254"/>
      <c r="N156" s="254"/>
      <c r="O156" s="26"/>
      <c r="P156" s="254"/>
      <c r="Q156" s="254"/>
      <c r="R156" s="254"/>
      <c r="S156" s="254"/>
      <c r="T156" s="254"/>
      <c r="U156" s="26"/>
      <c r="V156" s="254"/>
      <c r="W156" s="254"/>
      <c r="X156" s="254"/>
      <c r="Y156" s="254"/>
      <c r="Z156" s="254"/>
      <c r="AA156" s="26"/>
      <c r="AB156" s="254"/>
      <c r="AC156" s="254"/>
      <c r="AD156" s="254"/>
      <c r="AE156" s="254"/>
      <c r="AF156" s="254"/>
      <c r="AG156" s="26"/>
      <c r="AH156" s="254"/>
    </row>
    <row r="157" spans="1:34" ht="15.75" customHeight="1" x14ac:dyDescent="0.2">
      <c r="A157" s="273"/>
      <c r="B157" s="284"/>
      <c r="C157" s="291" t="s">
        <v>8</v>
      </c>
      <c r="D157" s="272" t="s">
        <v>78</v>
      </c>
      <c r="E157" s="252">
        <v>0.05</v>
      </c>
      <c r="F157" s="252">
        <v>0.05</v>
      </c>
      <c r="G157" s="252">
        <v>0.05</v>
      </c>
      <c r="H157" s="252">
        <v>0.05</v>
      </c>
      <c r="I157" s="26"/>
      <c r="J157" s="252">
        <v>0.05</v>
      </c>
      <c r="K157" s="254">
        <v>4.9000000000000002E-2</v>
      </c>
      <c r="L157" s="254">
        <v>4.9000000000000002E-2</v>
      </c>
      <c r="M157" s="254">
        <v>4.9000000000000002E-2</v>
      </c>
      <c r="N157" s="254">
        <v>4.9000000000000002E-2</v>
      </c>
      <c r="O157" s="26"/>
      <c r="P157" s="254">
        <v>4.9000000000000002E-2</v>
      </c>
      <c r="Q157" s="254">
        <v>4.8000000000000001E-2</v>
      </c>
      <c r="R157" s="254">
        <v>4.8000000000000001E-2</v>
      </c>
      <c r="S157" s="254">
        <v>4.8000000000000001E-2</v>
      </c>
      <c r="T157" s="254">
        <v>4.8000000000000001E-2</v>
      </c>
      <c r="U157" s="27"/>
      <c r="V157" s="254">
        <v>4.8000000000000001E-2</v>
      </c>
      <c r="W157" s="254">
        <v>4.7E-2</v>
      </c>
      <c r="X157" s="254">
        <v>4.7E-2</v>
      </c>
      <c r="Y157" s="254">
        <v>4.7E-2</v>
      </c>
      <c r="Z157" s="254">
        <v>4.7E-2</v>
      </c>
      <c r="AA157" s="27"/>
      <c r="AB157" s="254">
        <v>4.7E-2</v>
      </c>
      <c r="AC157" s="254">
        <v>4.5999999999999999E-2</v>
      </c>
      <c r="AD157" s="254">
        <v>4.5999999999999999E-2</v>
      </c>
      <c r="AE157" s="254">
        <v>4.5999999999999999E-2</v>
      </c>
      <c r="AF157" s="254">
        <v>4.5999999999999999E-2</v>
      </c>
      <c r="AG157" s="27"/>
      <c r="AH157" s="254">
        <v>4.5999999999999999E-2</v>
      </c>
    </row>
    <row r="158" spans="1:34" ht="15.75" customHeight="1" x14ac:dyDescent="0.2">
      <c r="A158" s="273"/>
      <c r="B158" s="284"/>
      <c r="C158" s="291"/>
      <c r="D158" s="251"/>
      <c r="E158" s="252"/>
      <c r="F158" s="252"/>
      <c r="G158" s="252"/>
      <c r="H158" s="252"/>
      <c r="I158" s="26"/>
      <c r="J158" s="252"/>
      <c r="K158" s="254"/>
      <c r="L158" s="254"/>
      <c r="M158" s="254"/>
      <c r="N158" s="254"/>
      <c r="O158" s="26"/>
      <c r="P158" s="254"/>
      <c r="Q158" s="254"/>
      <c r="R158" s="254"/>
      <c r="S158" s="254"/>
      <c r="T158" s="254"/>
      <c r="U158" s="27"/>
      <c r="V158" s="254"/>
      <c r="W158" s="254"/>
      <c r="X158" s="254"/>
      <c r="Y158" s="254"/>
      <c r="Z158" s="254"/>
      <c r="AA158" s="27"/>
      <c r="AB158" s="254"/>
      <c r="AC158" s="254"/>
      <c r="AD158" s="254"/>
      <c r="AE158" s="254"/>
      <c r="AF158" s="254"/>
      <c r="AG158" s="27"/>
      <c r="AH158" s="254"/>
    </row>
    <row r="159" spans="1:34" ht="15.75" customHeight="1" x14ac:dyDescent="0.2">
      <c r="A159" s="273"/>
      <c r="B159" s="284" t="s">
        <v>127</v>
      </c>
      <c r="C159" s="291" t="s">
        <v>26</v>
      </c>
      <c r="D159" s="272" t="s">
        <v>78</v>
      </c>
      <c r="E159" s="254">
        <v>0.05</v>
      </c>
      <c r="F159" s="254">
        <v>0.05</v>
      </c>
      <c r="G159" s="254">
        <v>0.05</v>
      </c>
      <c r="H159" s="254">
        <v>0.05</v>
      </c>
      <c r="I159" s="26"/>
      <c r="J159" s="254">
        <v>0.05</v>
      </c>
      <c r="K159" s="254">
        <v>4.9000000000000002E-2</v>
      </c>
      <c r="L159" s="254">
        <v>4.9000000000000002E-2</v>
      </c>
      <c r="M159" s="254">
        <v>4.9000000000000002E-2</v>
      </c>
      <c r="N159" s="254">
        <v>4.9000000000000002E-2</v>
      </c>
      <c r="O159" s="27"/>
      <c r="P159" s="254">
        <v>4.9000000000000002E-2</v>
      </c>
      <c r="Q159" s="254">
        <v>4.8000000000000001E-2</v>
      </c>
      <c r="R159" s="254">
        <v>4.8000000000000001E-2</v>
      </c>
      <c r="S159" s="254">
        <v>4.8000000000000001E-2</v>
      </c>
      <c r="T159" s="254">
        <v>4.8000000000000001E-2</v>
      </c>
      <c r="U159" s="27"/>
      <c r="V159" s="254">
        <v>4.8000000000000001E-2</v>
      </c>
      <c r="W159" s="254">
        <v>4.7E-2</v>
      </c>
      <c r="X159" s="254">
        <v>4.7E-2</v>
      </c>
      <c r="Y159" s="254">
        <v>4.7E-2</v>
      </c>
      <c r="Z159" s="254">
        <v>4.7E-2</v>
      </c>
      <c r="AA159" s="27"/>
      <c r="AB159" s="254">
        <v>4.7E-2</v>
      </c>
      <c r="AC159" s="254">
        <v>4.5999999999999999E-2</v>
      </c>
      <c r="AD159" s="254">
        <v>4.5999999999999999E-2</v>
      </c>
      <c r="AE159" s="254">
        <v>4.5999999999999999E-2</v>
      </c>
      <c r="AF159" s="254">
        <v>4.5999999999999999E-2</v>
      </c>
      <c r="AG159" s="27"/>
      <c r="AH159" s="254">
        <v>4.5999999999999999E-2</v>
      </c>
    </row>
    <row r="160" spans="1:34" ht="15.75" customHeight="1" x14ac:dyDescent="0.2">
      <c r="A160" s="273"/>
      <c r="B160" s="284"/>
      <c r="C160" s="291"/>
      <c r="D160" s="251"/>
      <c r="E160" s="254"/>
      <c r="F160" s="254"/>
      <c r="G160" s="254"/>
      <c r="H160" s="254"/>
      <c r="I160" s="26"/>
      <c r="J160" s="254"/>
      <c r="K160" s="254"/>
      <c r="L160" s="254"/>
      <c r="M160" s="254"/>
      <c r="N160" s="254"/>
      <c r="O160" s="27"/>
      <c r="P160" s="254"/>
      <c r="Q160" s="254"/>
      <c r="R160" s="254"/>
      <c r="S160" s="254"/>
      <c r="T160" s="254"/>
      <c r="U160" s="27"/>
      <c r="V160" s="254"/>
      <c r="W160" s="254"/>
      <c r="X160" s="254"/>
      <c r="Y160" s="254"/>
      <c r="Z160" s="254"/>
      <c r="AA160" s="27"/>
      <c r="AB160" s="254"/>
      <c r="AC160" s="254"/>
      <c r="AD160" s="254"/>
      <c r="AE160" s="254"/>
      <c r="AF160" s="254"/>
      <c r="AG160" s="27"/>
      <c r="AH160" s="254"/>
    </row>
    <row r="161" spans="1:34" ht="15.75" customHeight="1" x14ac:dyDescent="0.2">
      <c r="A161" s="273"/>
      <c r="B161" s="284"/>
      <c r="C161" s="291" t="s">
        <v>7</v>
      </c>
      <c r="D161" s="272" t="s">
        <v>78</v>
      </c>
      <c r="E161" s="254">
        <v>2.5000000000000001E-2</v>
      </c>
      <c r="F161" s="254">
        <v>2.5000000000000001E-2</v>
      </c>
      <c r="G161" s="254">
        <v>2.5000000000000001E-2</v>
      </c>
      <c r="H161" s="254">
        <v>2.5000000000000001E-2</v>
      </c>
      <c r="I161" s="26"/>
      <c r="J161" s="254">
        <v>2.5000000000000001E-2</v>
      </c>
      <c r="K161" s="254">
        <v>2.4E-2</v>
      </c>
      <c r="L161" s="254">
        <v>2.4E-2</v>
      </c>
      <c r="M161" s="254">
        <v>2.4E-2</v>
      </c>
      <c r="N161" s="254">
        <v>2.4E-2</v>
      </c>
      <c r="O161" s="26"/>
      <c r="P161" s="254">
        <v>2.4E-2</v>
      </c>
      <c r="Q161" s="254">
        <v>2.3E-2</v>
      </c>
      <c r="R161" s="254">
        <v>2.3E-2</v>
      </c>
      <c r="S161" s="254">
        <v>2.3E-2</v>
      </c>
      <c r="T161" s="254">
        <v>2.3E-2</v>
      </c>
      <c r="U161" s="26"/>
      <c r="V161" s="254">
        <v>2.3E-2</v>
      </c>
      <c r="W161" s="254">
        <v>2.1999999999999999E-2</v>
      </c>
      <c r="X161" s="254">
        <v>2.1999999999999999E-2</v>
      </c>
      <c r="Y161" s="254">
        <v>2.1999999999999999E-2</v>
      </c>
      <c r="Z161" s="254">
        <v>2.1999999999999999E-2</v>
      </c>
      <c r="AA161" s="26"/>
      <c r="AB161" s="254">
        <v>2.1999999999999999E-2</v>
      </c>
      <c r="AC161" s="254">
        <v>2.1000000000000001E-2</v>
      </c>
      <c r="AD161" s="254">
        <v>2.1000000000000001E-2</v>
      </c>
      <c r="AE161" s="254">
        <v>2.1000000000000001E-2</v>
      </c>
      <c r="AF161" s="254">
        <v>2.1000000000000001E-2</v>
      </c>
      <c r="AG161" s="26"/>
      <c r="AH161" s="254">
        <v>2.1000000000000001E-2</v>
      </c>
    </row>
    <row r="162" spans="1:34" ht="15.75" customHeight="1" x14ac:dyDescent="0.2">
      <c r="A162" s="273"/>
      <c r="B162" s="284"/>
      <c r="C162" s="291"/>
      <c r="D162" s="251"/>
      <c r="E162" s="254"/>
      <c r="F162" s="254"/>
      <c r="G162" s="254"/>
      <c r="H162" s="254"/>
      <c r="I162" s="26"/>
      <c r="J162" s="254"/>
      <c r="K162" s="254"/>
      <c r="L162" s="254"/>
      <c r="M162" s="254"/>
      <c r="N162" s="254"/>
      <c r="O162" s="26"/>
      <c r="P162" s="254"/>
      <c r="Q162" s="254"/>
      <c r="R162" s="254"/>
      <c r="S162" s="254"/>
      <c r="T162" s="254"/>
      <c r="U162" s="26"/>
      <c r="V162" s="254"/>
      <c r="W162" s="254"/>
      <c r="X162" s="254"/>
      <c r="Y162" s="254"/>
      <c r="Z162" s="254"/>
      <c r="AA162" s="26"/>
      <c r="AB162" s="254"/>
      <c r="AC162" s="254"/>
      <c r="AD162" s="254"/>
      <c r="AE162" s="254"/>
      <c r="AF162" s="254"/>
      <c r="AG162" s="26"/>
      <c r="AH162" s="254"/>
    </row>
    <row r="163" spans="1:34" ht="15.75" customHeight="1" x14ac:dyDescent="0.2">
      <c r="A163" s="273"/>
      <c r="B163" s="284"/>
      <c r="C163" s="291" t="s">
        <v>8</v>
      </c>
      <c r="D163" s="272" t="s">
        <v>78</v>
      </c>
      <c r="E163" s="252">
        <v>0.05</v>
      </c>
      <c r="F163" s="252">
        <v>0.05</v>
      </c>
      <c r="G163" s="252">
        <v>0.05</v>
      </c>
      <c r="H163" s="252">
        <v>0.05</v>
      </c>
      <c r="I163" s="26"/>
      <c r="J163" s="252">
        <v>0.05</v>
      </c>
      <c r="K163" s="254">
        <v>4.9000000000000002E-2</v>
      </c>
      <c r="L163" s="254">
        <v>4.9000000000000002E-2</v>
      </c>
      <c r="M163" s="254">
        <v>4.9000000000000002E-2</v>
      </c>
      <c r="N163" s="254">
        <v>4.9000000000000002E-2</v>
      </c>
      <c r="O163" s="26"/>
      <c r="P163" s="254">
        <v>4.9000000000000002E-2</v>
      </c>
      <c r="Q163" s="254">
        <v>4.8000000000000001E-2</v>
      </c>
      <c r="R163" s="254">
        <v>4.8000000000000001E-2</v>
      </c>
      <c r="S163" s="254">
        <v>4.8000000000000001E-2</v>
      </c>
      <c r="T163" s="254">
        <v>4.8000000000000001E-2</v>
      </c>
      <c r="U163" s="27"/>
      <c r="V163" s="254">
        <v>4.8000000000000001E-2</v>
      </c>
      <c r="W163" s="254">
        <v>4.7E-2</v>
      </c>
      <c r="X163" s="254">
        <v>4.7E-2</v>
      </c>
      <c r="Y163" s="254">
        <v>4.7E-2</v>
      </c>
      <c r="Z163" s="254">
        <v>4.7E-2</v>
      </c>
      <c r="AA163" s="27"/>
      <c r="AB163" s="254">
        <v>4.7E-2</v>
      </c>
      <c r="AC163" s="254">
        <v>4.5999999999999999E-2</v>
      </c>
      <c r="AD163" s="254">
        <v>4.5999999999999999E-2</v>
      </c>
      <c r="AE163" s="254">
        <v>4.5999999999999999E-2</v>
      </c>
      <c r="AF163" s="254">
        <v>4.5999999999999999E-2</v>
      </c>
      <c r="AG163" s="27"/>
      <c r="AH163" s="254">
        <v>4.5999999999999999E-2</v>
      </c>
    </row>
    <row r="164" spans="1:34" ht="15.75" customHeight="1" x14ac:dyDescent="0.2">
      <c r="A164" s="273"/>
      <c r="B164" s="284"/>
      <c r="C164" s="291"/>
      <c r="D164" s="251"/>
      <c r="E164" s="252"/>
      <c r="F164" s="252"/>
      <c r="G164" s="252"/>
      <c r="H164" s="252"/>
      <c r="I164" s="26"/>
      <c r="J164" s="252"/>
      <c r="K164" s="254"/>
      <c r="L164" s="254"/>
      <c r="M164" s="254"/>
      <c r="N164" s="254"/>
      <c r="O164" s="26"/>
      <c r="P164" s="254"/>
      <c r="Q164" s="254"/>
      <c r="R164" s="254"/>
      <c r="S164" s="254"/>
      <c r="T164" s="254"/>
      <c r="U164" s="27"/>
      <c r="V164" s="254"/>
      <c r="W164" s="254"/>
      <c r="X164" s="254"/>
      <c r="Y164" s="254"/>
      <c r="Z164" s="254"/>
      <c r="AA164" s="27"/>
      <c r="AB164" s="254"/>
      <c r="AC164" s="254"/>
      <c r="AD164" s="254"/>
      <c r="AE164" s="254"/>
      <c r="AF164" s="254"/>
      <c r="AG164" s="27"/>
      <c r="AH164" s="254"/>
    </row>
    <row r="165" spans="1:34" ht="15.75" customHeight="1" x14ac:dyDescent="0.2">
      <c r="A165" s="273"/>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39.6"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8" customHeight="1" x14ac:dyDescent="0.2">
      <c r="A183" s="273"/>
      <c r="B183" s="284" t="s">
        <v>89</v>
      </c>
      <c r="C183" s="284" t="s">
        <v>6</v>
      </c>
      <c r="D183" s="272" t="s">
        <v>78</v>
      </c>
      <c r="E183" s="254">
        <v>7.0000000000000001E-3</v>
      </c>
      <c r="F183" s="254">
        <v>7.0000000000000001E-3</v>
      </c>
      <c r="G183" s="254">
        <v>7.0000000000000001E-3</v>
      </c>
      <c r="H183" s="254">
        <v>7.0000000000000001E-3</v>
      </c>
      <c r="I183" s="26"/>
      <c r="J183" s="254">
        <v>7.0000000000000001E-3</v>
      </c>
      <c r="K183" s="254">
        <v>6.8999999999999999E-3</v>
      </c>
      <c r="L183" s="254">
        <v>6.8999999999999999E-3</v>
      </c>
      <c r="M183" s="254">
        <v>6.8999999999999999E-3</v>
      </c>
      <c r="N183" s="254">
        <v>6.8999999999999999E-3</v>
      </c>
      <c r="O183" s="26"/>
      <c r="P183" s="254">
        <v>6.8999999999999999E-3</v>
      </c>
      <c r="Q183" s="254">
        <v>6.7999999999999996E-3</v>
      </c>
      <c r="R183" s="254">
        <v>6.7999999999999996E-3</v>
      </c>
      <c r="S183" s="254">
        <v>6.7999999999999996E-3</v>
      </c>
      <c r="T183" s="254">
        <v>6.7999999999999996E-3</v>
      </c>
      <c r="U183" s="26"/>
      <c r="V183" s="254">
        <v>6.7999999999999996E-3</v>
      </c>
      <c r="W183" s="254">
        <v>6.7000000000000002E-3</v>
      </c>
      <c r="X183" s="254">
        <v>6.7000000000000002E-3</v>
      </c>
      <c r="Y183" s="254">
        <v>6.7000000000000002E-3</v>
      </c>
      <c r="Z183" s="254">
        <v>6.7000000000000002E-3</v>
      </c>
      <c r="AA183" s="26"/>
      <c r="AB183" s="254">
        <v>6.7000000000000002E-3</v>
      </c>
      <c r="AC183" s="254">
        <v>6.4999999999999997E-3</v>
      </c>
      <c r="AD183" s="254">
        <v>6.4999999999999997E-3</v>
      </c>
      <c r="AE183" s="254">
        <v>6.4999999999999997E-3</v>
      </c>
      <c r="AF183" s="254">
        <v>6.4999999999999997E-3</v>
      </c>
      <c r="AG183" s="26"/>
      <c r="AH183" s="254">
        <v>6.4999999999999997E-3</v>
      </c>
    </row>
    <row r="184" spans="1:34"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 customHeight="1" x14ac:dyDescent="0.2">
      <c r="A185" s="273"/>
      <c r="B185" s="284"/>
      <c r="C185" s="284" t="s">
        <v>7</v>
      </c>
      <c r="D185" s="272" t="s">
        <v>78</v>
      </c>
      <c r="E185" s="254">
        <v>0.01</v>
      </c>
      <c r="F185" s="254">
        <v>0.01</v>
      </c>
      <c r="G185" s="254">
        <v>0.01</v>
      </c>
      <c r="H185" s="254">
        <v>0.01</v>
      </c>
      <c r="I185" s="26"/>
      <c r="J185" s="254">
        <v>0.01</v>
      </c>
      <c r="K185" s="254">
        <v>9.9000000000000008E-3</v>
      </c>
      <c r="L185" s="254">
        <v>9.9000000000000008E-3</v>
      </c>
      <c r="M185" s="254">
        <v>9.9000000000000008E-3</v>
      </c>
      <c r="N185" s="254">
        <v>9.9000000000000008E-3</v>
      </c>
      <c r="O185" s="27"/>
      <c r="P185" s="254">
        <v>9.9000000000000008E-3</v>
      </c>
      <c r="Q185" s="254">
        <v>9.7999999999999997E-3</v>
      </c>
      <c r="R185" s="254">
        <v>9.7999999999999997E-3</v>
      </c>
      <c r="S185" s="254">
        <v>9.7999999999999997E-3</v>
      </c>
      <c r="T185" s="254">
        <v>9.7999999999999997E-3</v>
      </c>
      <c r="U185" s="27"/>
      <c r="V185" s="254">
        <v>9.7999999999999997E-3</v>
      </c>
      <c r="W185" s="254">
        <v>9.7000000000000003E-3</v>
      </c>
      <c r="X185" s="254">
        <v>9.7000000000000003E-3</v>
      </c>
      <c r="Y185" s="254">
        <v>9.7000000000000003E-3</v>
      </c>
      <c r="Z185" s="254">
        <v>9.7000000000000003E-3</v>
      </c>
      <c r="AA185" s="27"/>
      <c r="AB185" s="254">
        <v>9.7000000000000003E-3</v>
      </c>
      <c r="AC185" s="254">
        <v>9.4999999999999998E-3</v>
      </c>
      <c r="AD185" s="254">
        <v>9.4999999999999998E-3</v>
      </c>
      <c r="AE185" s="254">
        <v>9.4999999999999998E-3</v>
      </c>
      <c r="AF185" s="254">
        <v>9.4999999999999998E-3</v>
      </c>
      <c r="AG185" s="27"/>
      <c r="AH185" s="254">
        <v>9.4999999999999998E-3</v>
      </c>
    </row>
    <row r="186" spans="1:34" x14ac:dyDescent="0.2">
      <c r="A186" s="273"/>
      <c r="B186" s="284"/>
      <c r="C186" s="284"/>
      <c r="D186" s="251"/>
      <c r="E186" s="254"/>
      <c r="F186" s="254"/>
      <c r="G186" s="254"/>
      <c r="H186" s="254"/>
      <c r="I186" s="26"/>
      <c r="J186" s="254"/>
      <c r="K186" s="254"/>
      <c r="L186" s="254"/>
      <c r="M186" s="254"/>
      <c r="N186" s="254"/>
      <c r="O186" s="27"/>
      <c r="P186" s="254"/>
      <c r="Q186" s="254"/>
      <c r="R186" s="254"/>
      <c r="S186" s="254"/>
      <c r="T186" s="254"/>
      <c r="U186" s="27"/>
      <c r="V186" s="254"/>
      <c r="W186" s="254"/>
      <c r="X186" s="254"/>
      <c r="Y186" s="254"/>
      <c r="Z186" s="254"/>
      <c r="AA186" s="27"/>
      <c r="AB186" s="254"/>
      <c r="AC186" s="254"/>
      <c r="AD186" s="254"/>
      <c r="AE186" s="254"/>
      <c r="AF186" s="254"/>
      <c r="AG186" s="27"/>
      <c r="AH186" s="254"/>
    </row>
    <row r="187" spans="1:34" ht="15" customHeight="1" x14ac:dyDescent="0.2">
      <c r="A187" s="273"/>
      <c r="B187" s="284"/>
      <c r="C187" s="284" t="s">
        <v>8</v>
      </c>
      <c r="D187" s="272" t="s">
        <v>78</v>
      </c>
      <c r="E187" s="254">
        <v>0.01</v>
      </c>
      <c r="F187" s="254">
        <v>0.01</v>
      </c>
      <c r="G187" s="254">
        <v>0.01</v>
      </c>
      <c r="H187" s="254">
        <v>0.01</v>
      </c>
      <c r="I187" s="26"/>
      <c r="J187" s="254">
        <v>0.01</v>
      </c>
      <c r="K187" s="254">
        <v>9.9000000000000008E-3</v>
      </c>
      <c r="L187" s="254">
        <v>9.9000000000000008E-3</v>
      </c>
      <c r="M187" s="254">
        <v>9.9000000000000008E-3</v>
      </c>
      <c r="N187" s="254">
        <v>9.9000000000000008E-3</v>
      </c>
      <c r="O187" s="27"/>
      <c r="P187" s="254">
        <v>9.9000000000000008E-3</v>
      </c>
      <c r="Q187" s="254">
        <v>9.7999999999999997E-3</v>
      </c>
      <c r="R187" s="254">
        <v>9.7999999999999997E-3</v>
      </c>
      <c r="S187" s="254">
        <v>9.7999999999999997E-3</v>
      </c>
      <c r="T187" s="254">
        <v>9.7999999999999997E-3</v>
      </c>
      <c r="U187" s="27"/>
      <c r="V187" s="254">
        <v>9.7999999999999997E-3</v>
      </c>
      <c r="W187" s="254">
        <v>9.7000000000000003E-3</v>
      </c>
      <c r="X187" s="254">
        <v>9.7000000000000003E-3</v>
      </c>
      <c r="Y187" s="254">
        <v>9.7000000000000003E-3</v>
      </c>
      <c r="Z187" s="254">
        <v>9.7000000000000003E-3</v>
      </c>
      <c r="AA187" s="27"/>
      <c r="AB187" s="254">
        <v>9.7000000000000003E-3</v>
      </c>
      <c r="AC187" s="254">
        <v>9.4999999999999998E-3</v>
      </c>
      <c r="AD187" s="254">
        <v>9.4999999999999998E-3</v>
      </c>
      <c r="AE187" s="254">
        <v>9.4999999999999998E-3</v>
      </c>
      <c r="AF187" s="254">
        <v>9.4999999999999998E-3</v>
      </c>
      <c r="AG187" s="27"/>
      <c r="AH187" s="254">
        <v>9.4999999999999998E-3</v>
      </c>
    </row>
    <row r="188" spans="1:34" x14ac:dyDescent="0.2">
      <c r="A188" s="273"/>
      <c r="B188" s="284"/>
      <c r="C188" s="284"/>
      <c r="D188" s="251"/>
      <c r="E188" s="254"/>
      <c r="F188" s="254"/>
      <c r="G188" s="254"/>
      <c r="H188" s="254"/>
      <c r="I188" s="26"/>
      <c r="J188" s="254"/>
      <c r="K188" s="254"/>
      <c r="L188" s="254"/>
      <c r="M188" s="254"/>
      <c r="N188" s="254"/>
      <c r="O188" s="27"/>
      <c r="P188" s="254"/>
      <c r="Q188" s="254"/>
      <c r="R188" s="254"/>
      <c r="S188" s="254"/>
      <c r="T188" s="254"/>
      <c r="U188" s="27"/>
      <c r="V188" s="254"/>
      <c r="W188" s="254"/>
      <c r="X188" s="254"/>
      <c r="Y188" s="254"/>
      <c r="Z188" s="254"/>
      <c r="AA188" s="27"/>
      <c r="AB188" s="254"/>
      <c r="AC188" s="254"/>
      <c r="AD188" s="254"/>
      <c r="AE188" s="254"/>
      <c r="AF188" s="254"/>
      <c r="AG188" s="27"/>
      <c r="AH188" s="254"/>
    </row>
    <row r="189" spans="1:34" x14ac:dyDescent="0.2">
      <c r="A189" s="17">
        <v>1.7</v>
      </c>
      <c r="B189" s="266" t="s">
        <v>28</v>
      </c>
      <c r="C189" s="265"/>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67.8"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22.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ht="27" customHeight="1" x14ac:dyDescent="0.2">
      <c r="A194" s="43">
        <v>2</v>
      </c>
      <c r="B194" s="264" t="s">
        <v>29</v>
      </c>
      <c r="C194" s="294"/>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ht="30" customHeight="1" x14ac:dyDescent="0.2">
      <c r="A195" s="43">
        <v>2.1</v>
      </c>
      <c r="B195" s="264" t="s">
        <v>30</v>
      </c>
      <c r="C195" s="265"/>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43.2" customHeight="1" x14ac:dyDescent="0.2">
      <c r="A196" s="289"/>
      <c r="B196" s="288" t="s">
        <v>142</v>
      </c>
      <c r="C196" s="288"/>
      <c r="D196" s="273" t="s">
        <v>78</v>
      </c>
      <c r="E196" s="252">
        <v>0.59</v>
      </c>
      <c r="F196" s="252">
        <v>0.59</v>
      </c>
      <c r="G196" s="252">
        <v>0.59</v>
      </c>
      <c r="H196" s="252">
        <v>0.59</v>
      </c>
      <c r="I196" s="45"/>
      <c r="J196" s="252">
        <v>0.59</v>
      </c>
      <c r="K196" s="252">
        <v>0.56999999999999995</v>
      </c>
      <c r="L196" s="252">
        <v>0.56999999999999995</v>
      </c>
      <c r="M196" s="252">
        <v>0.56999999999999995</v>
      </c>
      <c r="N196" s="252">
        <v>0.56999999999999995</v>
      </c>
      <c r="O196" s="45"/>
      <c r="P196" s="252">
        <v>0.56999999999999995</v>
      </c>
      <c r="Q196" s="252">
        <v>0.55000000000000004</v>
      </c>
      <c r="R196" s="252">
        <v>0.55000000000000004</v>
      </c>
      <c r="S196" s="252">
        <v>0.55000000000000004</v>
      </c>
      <c r="T196" s="252">
        <v>0.55000000000000004</v>
      </c>
      <c r="U196" s="45"/>
      <c r="V196" s="252">
        <v>0.55000000000000004</v>
      </c>
      <c r="W196" s="252">
        <v>0.53</v>
      </c>
      <c r="X196" s="252">
        <v>0.53</v>
      </c>
      <c r="Y196" s="252">
        <v>0.53</v>
      </c>
      <c r="Z196" s="252">
        <v>0.53</v>
      </c>
      <c r="AA196" s="45"/>
      <c r="AB196" s="252">
        <v>0.53</v>
      </c>
      <c r="AC196" s="252" t="s">
        <v>129</v>
      </c>
      <c r="AD196" s="252" t="s">
        <v>129</v>
      </c>
      <c r="AE196" s="252" t="s">
        <v>129</v>
      </c>
      <c r="AF196" s="252" t="s">
        <v>129</v>
      </c>
      <c r="AG196" s="29"/>
      <c r="AH196" s="252" t="s">
        <v>129</v>
      </c>
    </row>
    <row r="197" spans="1:34" ht="48.6" customHeight="1" x14ac:dyDescent="0.2">
      <c r="A197" s="289"/>
      <c r="B197" s="288"/>
      <c r="C197" s="288"/>
      <c r="D197" s="273"/>
      <c r="E197" s="252"/>
      <c r="F197" s="252"/>
      <c r="G197" s="252"/>
      <c r="H197" s="252"/>
      <c r="I197" s="45"/>
      <c r="J197" s="252"/>
      <c r="K197" s="252">
        <v>0.56999999999999995</v>
      </c>
      <c r="L197" s="252">
        <v>0.56999999999999995</v>
      </c>
      <c r="M197" s="252">
        <v>0.56999999999999995</v>
      </c>
      <c r="N197" s="252">
        <v>0.56999999999999995</v>
      </c>
      <c r="O197" s="45"/>
      <c r="P197" s="252">
        <v>0.56999999999999995</v>
      </c>
      <c r="Q197" s="252">
        <v>0.56999999999999995</v>
      </c>
      <c r="R197" s="252">
        <v>0.56999999999999995</v>
      </c>
      <c r="S197" s="252">
        <v>0.56999999999999995</v>
      </c>
      <c r="T197" s="252">
        <v>0.56999999999999995</v>
      </c>
      <c r="U197" s="45"/>
      <c r="V197" s="252">
        <v>0.56999999999999995</v>
      </c>
      <c r="W197" s="252">
        <v>0.56999999999999995</v>
      </c>
      <c r="X197" s="252">
        <v>0.56999999999999995</v>
      </c>
      <c r="Y197" s="252">
        <v>0.56999999999999995</v>
      </c>
      <c r="Z197" s="252">
        <v>0.56999999999999995</v>
      </c>
      <c r="AA197" s="45"/>
      <c r="AB197" s="252">
        <v>0.56999999999999995</v>
      </c>
      <c r="AC197" s="252">
        <v>0.56999999999999995</v>
      </c>
      <c r="AD197" s="252">
        <v>0.56999999999999995</v>
      </c>
      <c r="AE197" s="252">
        <v>0.56999999999999995</v>
      </c>
      <c r="AF197" s="252">
        <v>0.56999999999999995</v>
      </c>
      <c r="AG197" s="29"/>
      <c r="AH197" s="252">
        <v>0.56999999999999995</v>
      </c>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0.95</v>
      </c>
      <c r="X198" s="252">
        <v>0.95</v>
      </c>
      <c r="Y198" s="252">
        <v>0.95</v>
      </c>
      <c r="Z198" s="252">
        <v>0.95</v>
      </c>
      <c r="AA198" s="19"/>
      <c r="AB198" s="252">
        <v>0.95</v>
      </c>
      <c r="AC198" s="252">
        <v>1</v>
      </c>
      <c r="AD198" s="252">
        <v>1</v>
      </c>
      <c r="AE198" s="252">
        <v>1</v>
      </c>
      <c r="AF198" s="252">
        <v>1</v>
      </c>
      <c r="AG198" s="19"/>
      <c r="AH198" s="252">
        <v>1</v>
      </c>
    </row>
    <row r="199" spans="1:34" ht="47.4"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42.6" customHeight="1" x14ac:dyDescent="0.2">
      <c r="A200" s="289"/>
      <c r="B200" s="296" t="s">
        <v>147</v>
      </c>
      <c r="C200" s="296"/>
      <c r="D200" s="25" t="s">
        <v>100</v>
      </c>
      <c r="E200" s="250">
        <v>0.45</v>
      </c>
      <c r="F200" s="250">
        <v>0.45</v>
      </c>
      <c r="G200" s="250">
        <v>0.45</v>
      </c>
      <c r="H200" s="250">
        <v>0.45</v>
      </c>
      <c r="I200" s="26"/>
      <c r="J200" s="250">
        <v>0.45</v>
      </c>
      <c r="K200" s="250">
        <v>0.45</v>
      </c>
      <c r="L200" s="250">
        <v>0.45</v>
      </c>
      <c r="M200" s="250">
        <v>0.45</v>
      </c>
      <c r="N200" s="250">
        <v>0.45</v>
      </c>
      <c r="O200" s="26"/>
      <c r="P200" s="250">
        <v>0.45</v>
      </c>
      <c r="Q200" s="250">
        <v>0.45</v>
      </c>
      <c r="R200" s="250">
        <v>0.45</v>
      </c>
      <c r="S200" s="250">
        <v>0.45</v>
      </c>
      <c r="T200" s="250">
        <v>0.45</v>
      </c>
      <c r="U200" s="26"/>
      <c r="V200" s="250">
        <v>0.45</v>
      </c>
      <c r="W200" s="250">
        <v>0.45</v>
      </c>
      <c r="X200" s="250">
        <v>0.45</v>
      </c>
      <c r="Y200" s="250">
        <v>0.45</v>
      </c>
      <c r="Z200" s="250">
        <v>0.45</v>
      </c>
      <c r="AA200" s="26"/>
      <c r="AB200" s="250">
        <v>0.45</v>
      </c>
      <c r="AC200" s="250">
        <v>0.45</v>
      </c>
      <c r="AD200" s="250">
        <v>0.45</v>
      </c>
      <c r="AE200" s="250">
        <v>0.45</v>
      </c>
      <c r="AF200" s="250">
        <v>0.45</v>
      </c>
      <c r="AG200" s="26"/>
      <c r="AH200" s="250">
        <v>0.45</v>
      </c>
    </row>
    <row r="201" spans="1:34" ht="36.6"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84"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84"/>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284"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84"/>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41.4" customHeight="1" x14ac:dyDescent="0.2">
      <c r="A206" s="289"/>
      <c r="B206" s="284"/>
      <c r="C206" s="284"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8.600000000000001" customHeight="1" x14ac:dyDescent="0.2">
      <c r="A207" s="289"/>
      <c r="B207" s="284"/>
      <c r="C207" s="284"/>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v>1.38</v>
      </c>
      <c r="F208" s="249">
        <v>1.38</v>
      </c>
      <c r="G208" s="249">
        <v>1.38</v>
      </c>
      <c r="H208" s="249">
        <v>1.38</v>
      </c>
      <c r="I208" s="19"/>
      <c r="J208" s="249">
        <v>1.38</v>
      </c>
      <c r="K208" s="249">
        <v>1.38</v>
      </c>
      <c r="L208" s="249">
        <v>1.38</v>
      </c>
      <c r="M208" s="249">
        <v>1.38</v>
      </c>
      <c r="N208" s="249">
        <v>1.38</v>
      </c>
      <c r="O208" s="19"/>
      <c r="P208" s="249">
        <v>1.38</v>
      </c>
      <c r="Q208" s="249">
        <v>1.38</v>
      </c>
      <c r="R208" s="249">
        <v>1.38</v>
      </c>
      <c r="S208" s="249">
        <v>1.38</v>
      </c>
      <c r="T208" s="249">
        <v>1.38</v>
      </c>
      <c r="U208" s="19"/>
      <c r="V208" s="249">
        <v>1.38</v>
      </c>
      <c r="W208" s="249">
        <v>1.46</v>
      </c>
      <c r="X208" s="249">
        <v>1.46</v>
      </c>
      <c r="Y208" s="249">
        <v>1.46</v>
      </c>
      <c r="Z208" s="249">
        <v>1.46</v>
      </c>
      <c r="AA208" s="19"/>
      <c r="AB208" s="249">
        <v>1.46</v>
      </c>
      <c r="AC208" s="249">
        <v>1.46</v>
      </c>
      <c r="AD208" s="249">
        <v>1.46</v>
      </c>
      <c r="AE208" s="249">
        <v>1.46</v>
      </c>
      <c r="AF208" s="249">
        <v>1.46</v>
      </c>
      <c r="AG208" s="19"/>
      <c r="AH208" s="249">
        <v>1.46</v>
      </c>
    </row>
    <row r="209" spans="1:34" ht="49.8"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53">
        <f>24875/25103</f>
        <v>0.99091742022865792</v>
      </c>
      <c r="F210" s="253">
        <f>24875/25103</f>
        <v>0.99091742022865792</v>
      </c>
      <c r="G210" s="253">
        <f>24875/25103</f>
        <v>0.99091742022865792</v>
      </c>
      <c r="H210" s="253">
        <f>24875/25103</f>
        <v>0.99091742022865792</v>
      </c>
      <c r="I210" s="19"/>
      <c r="J210" s="253">
        <f>24875/25103</f>
        <v>0.99091742022865792</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42.6" customHeight="1" x14ac:dyDescent="0.2">
      <c r="A211" s="289"/>
      <c r="B211" s="284"/>
      <c r="C211" s="284"/>
      <c r="D211" s="273"/>
      <c r="E211" s="253"/>
      <c r="F211" s="253"/>
      <c r="G211" s="253"/>
      <c r="H211" s="253"/>
      <c r="I211" s="19"/>
      <c r="J211" s="253"/>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23.25" customHeight="1" x14ac:dyDescent="0.2">
      <c r="A212" s="17">
        <v>2.2000000000000002</v>
      </c>
      <c r="B212" s="264" t="s">
        <v>33</v>
      </c>
      <c r="C212" s="265"/>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row>
    <row r="213" spans="1:34" ht="37.200000000000003" customHeight="1" x14ac:dyDescent="0.2">
      <c r="A213" s="289"/>
      <c r="B213" s="284" t="s">
        <v>43</v>
      </c>
      <c r="C213" s="284"/>
      <c r="D213" s="273" t="s">
        <v>78</v>
      </c>
      <c r="E213" s="248">
        <v>1.677</v>
      </c>
      <c r="F213" s="248">
        <v>1.677</v>
      </c>
      <c r="G213" s="248">
        <v>1.677</v>
      </c>
      <c r="H213" s="248">
        <v>1.677</v>
      </c>
      <c r="I213" s="20"/>
      <c r="J213" s="248">
        <v>1.677</v>
      </c>
      <c r="K213" s="248">
        <v>1.677</v>
      </c>
      <c r="L213" s="248">
        <v>1.677</v>
      </c>
      <c r="M213" s="248">
        <v>1.677</v>
      </c>
      <c r="N213" s="248">
        <v>1.677</v>
      </c>
      <c r="O213" s="20"/>
      <c r="P213" s="248">
        <v>1.677</v>
      </c>
      <c r="Q213" s="248">
        <v>1.677</v>
      </c>
      <c r="R213" s="248">
        <v>1.677</v>
      </c>
      <c r="S213" s="248">
        <v>1.677</v>
      </c>
      <c r="T213" s="248">
        <v>1.677</v>
      </c>
      <c r="U213" s="20"/>
      <c r="V213" s="248">
        <v>1.677</v>
      </c>
      <c r="W213" s="248">
        <v>1.7250000000000001</v>
      </c>
      <c r="X213" s="248">
        <v>1.7250000000000001</v>
      </c>
      <c r="Y213" s="248">
        <v>1.7250000000000001</v>
      </c>
      <c r="Z213" s="248">
        <v>1.7250000000000001</v>
      </c>
      <c r="AA213" s="20"/>
      <c r="AB213" s="248">
        <v>1.7250000000000001</v>
      </c>
      <c r="AC213" s="248">
        <v>1.7250000000000001</v>
      </c>
      <c r="AD213" s="248">
        <v>1.7250000000000001</v>
      </c>
      <c r="AE213" s="248">
        <v>1.7250000000000001</v>
      </c>
      <c r="AF213" s="248">
        <v>1.7250000000000001</v>
      </c>
      <c r="AG213" s="20"/>
      <c r="AH213" s="248">
        <v>1.7250000000000001</v>
      </c>
    </row>
    <row r="214" spans="1:34" ht="39.6" customHeight="1" x14ac:dyDescent="0.2">
      <c r="A214" s="289"/>
      <c r="B214" s="284"/>
      <c r="C214" s="284"/>
      <c r="D214" s="273"/>
      <c r="E214" s="248"/>
      <c r="F214" s="248"/>
      <c r="G214" s="248"/>
      <c r="H214" s="248"/>
      <c r="I214" s="20"/>
      <c r="J214" s="248"/>
      <c r="K214" s="248"/>
      <c r="L214" s="248"/>
      <c r="M214" s="248"/>
      <c r="N214" s="248"/>
      <c r="O214" s="20"/>
      <c r="P214" s="248"/>
      <c r="Q214" s="248"/>
      <c r="R214" s="248"/>
      <c r="S214" s="248"/>
      <c r="T214" s="248"/>
      <c r="U214" s="20"/>
      <c r="V214" s="248"/>
      <c r="W214" s="248"/>
      <c r="X214" s="248"/>
      <c r="Y214" s="248"/>
      <c r="Z214" s="248"/>
      <c r="AA214" s="20"/>
      <c r="AB214" s="248"/>
      <c r="AC214" s="248"/>
      <c r="AD214" s="248"/>
      <c r="AE214" s="248"/>
      <c r="AF214" s="248"/>
      <c r="AG214" s="20"/>
      <c r="AH214" s="248"/>
    </row>
    <row r="215" spans="1:34" ht="45.6"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v>0.97</v>
      </c>
      <c r="X215" s="249">
        <v>0.97</v>
      </c>
      <c r="Y215" s="249">
        <v>0.97</v>
      </c>
      <c r="Z215" s="249">
        <v>0.97</v>
      </c>
      <c r="AA215" s="19"/>
      <c r="AB215" s="249">
        <v>0.97</v>
      </c>
      <c r="AC215" s="249">
        <v>1</v>
      </c>
      <c r="AD215" s="249">
        <v>1</v>
      </c>
      <c r="AE215" s="249">
        <v>1</v>
      </c>
      <c r="AF215" s="249">
        <v>1</v>
      </c>
      <c r="AG215" s="19"/>
      <c r="AH215" s="249">
        <v>1</v>
      </c>
    </row>
    <row r="216" spans="1:34" ht="34.200000000000003"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0.3</v>
      </c>
      <c r="F217" s="250">
        <v>0.3</v>
      </c>
      <c r="G217" s="250">
        <v>0.3</v>
      </c>
      <c r="H217" s="250">
        <v>0.3</v>
      </c>
      <c r="I217" s="26"/>
      <c r="J217" s="250">
        <v>0.3</v>
      </c>
      <c r="K217" s="250">
        <v>0.3</v>
      </c>
      <c r="L217" s="250">
        <v>0.3</v>
      </c>
      <c r="M217" s="250">
        <v>0.3</v>
      </c>
      <c r="N217" s="250">
        <v>0.3</v>
      </c>
      <c r="O217" s="26"/>
      <c r="P217" s="250">
        <v>0.3</v>
      </c>
      <c r="Q217" s="250">
        <v>0.3</v>
      </c>
      <c r="R217" s="250">
        <v>0.3</v>
      </c>
      <c r="S217" s="250">
        <v>0.3</v>
      </c>
      <c r="T217" s="250">
        <v>0.3</v>
      </c>
      <c r="U217" s="26"/>
      <c r="V217" s="250">
        <v>0.3</v>
      </c>
      <c r="W217" s="250">
        <v>0.3</v>
      </c>
      <c r="X217" s="250">
        <v>0.3</v>
      </c>
      <c r="Y217" s="250">
        <v>0.3</v>
      </c>
      <c r="Z217" s="250">
        <v>0.3</v>
      </c>
      <c r="AA217" s="26"/>
      <c r="AB217" s="250">
        <v>0.3</v>
      </c>
      <c r="AC217" s="250">
        <v>0.3</v>
      </c>
      <c r="AD217" s="250">
        <v>0.3</v>
      </c>
      <c r="AE217" s="250">
        <v>0.3</v>
      </c>
      <c r="AF217" s="250">
        <v>0.3</v>
      </c>
      <c r="AG217" s="26"/>
      <c r="AH217" s="250">
        <v>0.3</v>
      </c>
    </row>
    <row r="218" spans="1:34" ht="67.8"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2"/>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ht="3" customHeight="1" x14ac:dyDescent="0.2">
      <c r="A221" s="17"/>
      <c r="B221" s="42"/>
      <c r="C221" s="42"/>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2"/>
      <c r="D222" s="22"/>
      <c r="E222" s="301"/>
      <c r="F222" s="302"/>
      <c r="G222" s="302"/>
      <c r="H222" s="303"/>
      <c r="I222" s="21" t="s">
        <v>5</v>
      </c>
      <c r="J222" s="21"/>
      <c r="K222" s="22"/>
      <c r="L222" s="22"/>
      <c r="M222" s="259"/>
      <c r="N222" s="259"/>
      <c r="O222" s="21" t="s">
        <v>5</v>
      </c>
      <c r="P222" s="21"/>
      <c r="Q222" s="22"/>
      <c r="R222" s="22"/>
      <c r="S222" s="259"/>
      <c r="T222" s="259"/>
      <c r="U222" s="21" t="s">
        <v>5</v>
      </c>
      <c r="V222" s="21"/>
      <c r="W222" s="22"/>
      <c r="X222" s="22"/>
      <c r="Y222" s="259"/>
      <c r="Z222" s="259"/>
      <c r="AA222" s="21" t="s">
        <v>5</v>
      </c>
      <c r="AB222" s="21"/>
      <c r="AC222" s="301"/>
      <c r="AD222" s="302"/>
      <c r="AE222" s="302"/>
      <c r="AF222" s="303"/>
      <c r="AG222" s="21" t="s">
        <v>5</v>
      </c>
      <c r="AH222" s="21"/>
    </row>
    <row r="223" spans="1:34" ht="23.25" customHeight="1" x14ac:dyDescent="0.2">
      <c r="A223" s="290"/>
      <c r="B223" s="287"/>
      <c r="C223" s="287"/>
      <c r="D223" s="40"/>
      <c r="E223" s="17" t="s">
        <v>1</v>
      </c>
      <c r="F223" s="17" t="s">
        <v>2</v>
      </c>
      <c r="G223" s="17" t="s">
        <v>3</v>
      </c>
      <c r="H223" s="17" t="s">
        <v>4</v>
      </c>
      <c r="I223" s="22"/>
      <c r="J223" s="22"/>
      <c r="K223" s="17" t="s">
        <v>1</v>
      </c>
      <c r="L223" s="17" t="s">
        <v>2</v>
      </c>
      <c r="M223" s="17" t="s">
        <v>3</v>
      </c>
      <c r="N223" s="17" t="s">
        <v>4</v>
      </c>
      <c r="O223" s="22"/>
      <c r="P223" s="22"/>
      <c r="Q223" s="17" t="s">
        <v>1</v>
      </c>
      <c r="R223" s="17" t="s">
        <v>2</v>
      </c>
      <c r="S223" s="17" t="s">
        <v>3</v>
      </c>
      <c r="T223" s="17" t="s">
        <v>4</v>
      </c>
      <c r="U223" s="22"/>
      <c r="V223" s="22"/>
      <c r="W223" s="17"/>
      <c r="X223" s="17"/>
      <c r="Y223" s="17" t="s">
        <v>3</v>
      </c>
      <c r="Z223" s="17" t="s">
        <v>4</v>
      </c>
      <c r="AA223" s="22"/>
      <c r="AB223" s="22"/>
      <c r="AC223" s="17" t="s">
        <v>1</v>
      </c>
      <c r="AD223" s="17" t="s">
        <v>2</v>
      </c>
      <c r="AE223" s="17" t="s">
        <v>3</v>
      </c>
      <c r="AF223" s="17" t="s">
        <v>4</v>
      </c>
      <c r="AG223" s="22"/>
      <c r="AH223" s="22"/>
    </row>
    <row r="224" spans="1:34" x14ac:dyDescent="0.2">
      <c r="A224" s="22">
        <v>0</v>
      </c>
      <c r="B224" s="18">
        <v>1</v>
      </c>
      <c r="C224" s="18">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ht="35.25" customHeight="1" x14ac:dyDescent="0.2">
      <c r="A225" s="43">
        <v>3.1</v>
      </c>
      <c r="B225" s="264" t="s">
        <v>35</v>
      </c>
      <c r="C225" s="265"/>
      <c r="D225" s="265"/>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265"/>
    </row>
    <row r="226" spans="1:34" ht="28.8" customHeight="1" x14ac:dyDescent="0.2">
      <c r="A226" s="289"/>
      <c r="B226" s="284" t="s">
        <v>45</v>
      </c>
      <c r="C226" s="284"/>
      <c r="D226" s="25" t="s">
        <v>101</v>
      </c>
      <c r="E226" s="23">
        <v>25125</v>
      </c>
      <c r="F226" s="23">
        <v>25139</v>
      </c>
      <c r="G226" s="23">
        <v>25152</v>
      </c>
      <c r="H226" s="23">
        <v>25166</v>
      </c>
      <c r="I226" s="41"/>
      <c r="J226" s="41">
        <v>25166</v>
      </c>
      <c r="K226" s="23">
        <v>25180</v>
      </c>
      <c r="L226" s="23">
        <v>25194</v>
      </c>
      <c r="M226" s="23">
        <v>25207</v>
      </c>
      <c r="N226" s="23">
        <v>25221</v>
      </c>
      <c r="O226" s="41"/>
      <c r="P226" s="41">
        <f>J226+55</f>
        <v>25221</v>
      </c>
      <c r="Q226" s="23">
        <v>25235</v>
      </c>
      <c r="R226" s="23">
        <v>25249</v>
      </c>
      <c r="S226" s="23">
        <v>25262</v>
      </c>
      <c r="T226" s="23">
        <v>25276</v>
      </c>
      <c r="U226" s="41"/>
      <c r="V226" s="41">
        <f>P226+55</f>
        <v>25276</v>
      </c>
      <c r="W226" s="23">
        <v>25298</v>
      </c>
      <c r="X226" s="23">
        <v>25320</v>
      </c>
      <c r="Y226" s="23">
        <v>25341</v>
      </c>
      <c r="Z226" s="23">
        <v>25363</v>
      </c>
      <c r="AA226" s="41"/>
      <c r="AB226" s="57">
        <v>25363</v>
      </c>
      <c r="AC226" s="57">
        <v>25363</v>
      </c>
      <c r="AD226" s="57">
        <v>25363</v>
      </c>
      <c r="AE226" s="57">
        <v>25363</v>
      </c>
      <c r="AF226" s="57">
        <v>25363</v>
      </c>
      <c r="AG226" s="41"/>
      <c r="AH226" s="57">
        <v>25363</v>
      </c>
    </row>
    <row r="227" spans="1:34" x14ac:dyDescent="0.2">
      <c r="A227" s="289"/>
      <c r="B227" s="284"/>
      <c r="C227" s="284"/>
      <c r="D227" s="25" t="s">
        <v>32</v>
      </c>
      <c r="E227" s="26">
        <v>313.25</v>
      </c>
      <c r="F227" s="26">
        <v>313.25</v>
      </c>
      <c r="G227" s="26">
        <v>313.25</v>
      </c>
      <c r="H227" s="26">
        <v>313.25</v>
      </c>
      <c r="I227" s="26"/>
      <c r="J227" s="26">
        <v>313.25</v>
      </c>
      <c r="K227" s="26">
        <v>313.25</v>
      </c>
      <c r="L227" s="26">
        <v>313.25</v>
      </c>
      <c r="M227" s="26">
        <v>313.25</v>
      </c>
      <c r="N227" s="26">
        <v>313.25</v>
      </c>
      <c r="O227" s="26"/>
      <c r="P227" s="26">
        <v>313.25</v>
      </c>
      <c r="Q227" s="26">
        <v>313.25</v>
      </c>
      <c r="R227" s="26">
        <v>313.25</v>
      </c>
      <c r="S227" s="26">
        <v>313.25</v>
      </c>
      <c r="T227" s="26">
        <v>313.25</v>
      </c>
      <c r="U227" s="26"/>
      <c r="V227" s="26">
        <v>313.25</v>
      </c>
      <c r="W227" s="44">
        <v>333.43900000000002</v>
      </c>
      <c r="X227" s="44">
        <v>333.43900000000002</v>
      </c>
      <c r="Y227" s="44">
        <v>333.43900000000002</v>
      </c>
      <c r="Z227" s="44">
        <v>333.43900000000002</v>
      </c>
      <c r="AA227" s="26"/>
      <c r="AB227" s="44">
        <v>333.43900000000002</v>
      </c>
      <c r="AC227" s="44">
        <v>333.43900000000002</v>
      </c>
      <c r="AD227" s="44">
        <v>333.43900000000002</v>
      </c>
      <c r="AE227" s="44">
        <v>333.43900000000002</v>
      </c>
      <c r="AF227" s="44">
        <v>333.43900000000002</v>
      </c>
      <c r="AG227" s="26"/>
      <c r="AH227" s="58">
        <v>333.43900000000002</v>
      </c>
    </row>
    <row r="228" spans="1:34" ht="36" customHeight="1" x14ac:dyDescent="0.2">
      <c r="A228" s="289"/>
      <c r="B228" s="284" t="s">
        <v>46</v>
      </c>
      <c r="C228" s="284"/>
      <c r="D228" s="25" t="s">
        <v>32</v>
      </c>
      <c r="E228" s="26">
        <v>313.25</v>
      </c>
      <c r="F228" s="26">
        <v>313.25</v>
      </c>
      <c r="G228" s="26">
        <v>313.25</v>
      </c>
      <c r="H228" s="26">
        <v>313.25</v>
      </c>
      <c r="I228" s="26"/>
      <c r="J228" s="26">
        <v>313.25</v>
      </c>
      <c r="K228" s="26">
        <v>313.25</v>
      </c>
      <c r="L228" s="26">
        <v>313.25</v>
      </c>
      <c r="M228" s="26">
        <v>313.25</v>
      </c>
      <c r="N228" s="26">
        <v>313.25</v>
      </c>
      <c r="O228" s="26"/>
      <c r="P228" s="26">
        <v>313.25</v>
      </c>
      <c r="Q228" s="26">
        <v>313.25</v>
      </c>
      <c r="R228" s="26">
        <v>313.25</v>
      </c>
      <c r="S228" s="26">
        <v>313.25</v>
      </c>
      <c r="T228" s="26">
        <v>313.25</v>
      </c>
      <c r="U228" s="26"/>
      <c r="V228" s="26">
        <v>313.25</v>
      </c>
      <c r="W228" s="44">
        <v>333.43900000000002</v>
      </c>
      <c r="X228" s="44">
        <v>333.43900000000002</v>
      </c>
      <c r="Y228" s="44">
        <v>333.43900000000002</v>
      </c>
      <c r="Z228" s="44">
        <v>333.43900000000002</v>
      </c>
      <c r="AA228" s="26"/>
      <c r="AB228" s="44">
        <v>333.43900000000002</v>
      </c>
      <c r="AC228" s="44">
        <v>333.43900000000002</v>
      </c>
      <c r="AD228" s="44">
        <v>333.43900000000002</v>
      </c>
      <c r="AE228" s="44">
        <v>333.43900000000002</v>
      </c>
      <c r="AF228" s="44">
        <v>333.43900000000002</v>
      </c>
      <c r="AG228" s="26"/>
      <c r="AH228" s="59">
        <v>333.43900000000002</v>
      </c>
    </row>
    <row r="229" spans="1:34" x14ac:dyDescent="0.2">
      <c r="A229" s="289"/>
      <c r="B229" s="284"/>
      <c r="C229" s="284"/>
      <c r="D229" s="25" t="s">
        <v>143</v>
      </c>
      <c r="E229" s="24">
        <v>131946.69375000001</v>
      </c>
      <c r="F229" s="24">
        <v>131971.73749999999</v>
      </c>
      <c r="G229" s="24">
        <v>131996.78125</v>
      </c>
      <c r="H229" s="24">
        <v>132021.82500000001</v>
      </c>
      <c r="I229" s="41"/>
      <c r="J229" s="41">
        <f>J235*97.5/100</f>
        <v>132021.82500000001</v>
      </c>
      <c r="K229" s="51">
        <v>132047</v>
      </c>
      <c r="L229" s="51">
        <v>132072</v>
      </c>
      <c r="M229" s="51">
        <v>132097</v>
      </c>
      <c r="N229" s="51">
        <v>132122</v>
      </c>
      <c r="O229" s="41"/>
      <c r="P229" s="41">
        <v>132122</v>
      </c>
      <c r="Q229" s="51">
        <v>132149</v>
      </c>
      <c r="R229" s="51">
        <v>132176</v>
      </c>
      <c r="S229" s="51">
        <v>132203</v>
      </c>
      <c r="T229" s="51">
        <v>132230</v>
      </c>
      <c r="U229" s="41"/>
      <c r="V229" s="41">
        <v>132230</v>
      </c>
      <c r="W229" s="51">
        <v>132258</v>
      </c>
      <c r="X229" s="51">
        <v>132285</v>
      </c>
      <c r="Y229" s="51">
        <v>132313</v>
      </c>
      <c r="Z229" s="51">
        <v>132340</v>
      </c>
      <c r="AA229" s="41"/>
      <c r="AB229" s="41">
        <v>132340</v>
      </c>
      <c r="AC229" s="51">
        <v>132402</v>
      </c>
      <c r="AD229" s="51">
        <v>132465</v>
      </c>
      <c r="AE229" s="51">
        <v>132527</v>
      </c>
      <c r="AF229" s="51">
        <v>132589</v>
      </c>
      <c r="AG229" s="41"/>
      <c r="AH229" s="41">
        <v>132589</v>
      </c>
    </row>
    <row r="230" spans="1:34" ht="15.75" customHeight="1" x14ac:dyDescent="0.2">
      <c r="A230" s="289"/>
      <c r="B230" s="284" t="s">
        <v>47</v>
      </c>
      <c r="C230" s="284"/>
      <c r="D230" s="25" t="s">
        <v>32</v>
      </c>
      <c r="E230" s="26">
        <v>398.81</v>
      </c>
      <c r="F230" s="26">
        <v>398.81</v>
      </c>
      <c r="G230" s="26">
        <v>398.81</v>
      </c>
      <c r="H230" s="26">
        <v>398.81</v>
      </c>
      <c r="I230" s="26"/>
      <c r="J230" s="26">
        <v>398.81</v>
      </c>
      <c r="K230" s="26">
        <v>398.81</v>
      </c>
      <c r="L230" s="26">
        <v>398.81</v>
      </c>
      <c r="M230" s="26">
        <v>398.81</v>
      </c>
      <c r="N230" s="26">
        <v>398.81</v>
      </c>
      <c r="O230" s="26"/>
      <c r="P230" s="26">
        <v>398.81</v>
      </c>
      <c r="Q230" s="26">
        <v>398.81</v>
      </c>
      <c r="R230" s="26">
        <v>398.81</v>
      </c>
      <c r="S230" s="26">
        <v>398.81</v>
      </c>
      <c r="T230" s="26">
        <v>398.81</v>
      </c>
      <c r="U230" s="26"/>
      <c r="V230" s="26">
        <v>398.81</v>
      </c>
      <c r="W230" s="60">
        <v>414.20600000000002</v>
      </c>
      <c r="X230" s="60">
        <v>414.20600000000002</v>
      </c>
      <c r="Y230" s="60">
        <v>414.20600000000002</v>
      </c>
      <c r="Z230" s="60">
        <v>414.20600000000002</v>
      </c>
      <c r="AA230" s="26"/>
      <c r="AB230" s="61">
        <v>414.20600000000002</v>
      </c>
      <c r="AC230" s="26">
        <v>414.20600000000002</v>
      </c>
      <c r="AD230" s="26">
        <v>414.20600000000002</v>
      </c>
      <c r="AE230" s="26">
        <v>414.20600000000002</v>
      </c>
      <c r="AF230" s="26">
        <v>414.20600000000002</v>
      </c>
      <c r="AG230" s="26"/>
      <c r="AH230" s="26">
        <v>414.20600000000002</v>
      </c>
    </row>
    <row r="231" spans="1:34" ht="29.4" customHeight="1" x14ac:dyDescent="0.2">
      <c r="A231" s="289"/>
      <c r="B231" s="284"/>
      <c r="C231" s="284"/>
      <c r="D231" s="25" t="s">
        <v>143</v>
      </c>
      <c r="E231" s="41">
        <v>132022</v>
      </c>
      <c r="F231" s="41">
        <v>132022</v>
      </c>
      <c r="G231" s="41">
        <v>132022</v>
      </c>
      <c r="H231" s="41">
        <v>132022</v>
      </c>
      <c r="I231" s="41"/>
      <c r="J231" s="41">
        <v>132022</v>
      </c>
      <c r="K231" s="41">
        <v>132122</v>
      </c>
      <c r="L231" s="41">
        <v>132122</v>
      </c>
      <c r="M231" s="41">
        <v>132122</v>
      </c>
      <c r="N231" s="41">
        <v>132122</v>
      </c>
      <c r="O231" s="41"/>
      <c r="P231" s="41">
        <v>132122</v>
      </c>
      <c r="Q231" s="41">
        <v>132230</v>
      </c>
      <c r="R231" s="41">
        <v>132230</v>
      </c>
      <c r="S231" s="41">
        <v>132230</v>
      </c>
      <c r="T231" s="41">
        <v>132230</v>
      </c>
      <c r="U231" s="41"/>
      <c r="V231" s="41">
        <v>132230</v>
      </c>
      <c r="W231" s="41">
        <v>132340</v>
      </c>
      <c r="X231" s="41">
        <v>132340</v>
      </c>
      <c r="Y231" s="41">
        <v>132340</v>
      </c>
      <c r="Z231" s="41">
        <v>132340</v>
      </c>
      <c r="AA231" s="41"/>
      <c r="AB231" s="41">
        <v>132589</v>
      </c>
      <c r="AC231" s="41">
        <v>132589</v>
      </c>
      <c r="AD231" s="41">
        <v>132589</v>
      </c>
      <c r="AE231" s="41">
        <v>132589</v>
      </c>
      <c r="AF231" s="41">
        <v>132589</v>
      </c>
      <c r="AG231" s="41">
        <v>132589</v>
      </c>
      <c r="AH231" s="41">
        <v>132589</v>
      </c>
    </row>
    <row r="232" spans="1:34" ht="30" customHeight="1" x14ac:dyDescent="0.2">
      <c r="A232" s="289"/>
      <c r="B232" s="284" t="s">
        <v>36</v>
      </c>
      <c r="C232" s="284"/>
      <c r="D232" s="25" t="s">
        <v>144</v>
      </c>
      <c r="E232" s="23">
        <v>13725</v>
      </c>
      <c r="F232" s="23">
        <v>13735</v>
      </c>
      <c r="G232" s="23">
        <v>13745</v>
      </c>
      <c r="H232" s="23">
        <v>13755</v>
      </c>
      <c r="I232" s="41"/>
      <c r="J232" s="41">
        <f>13715+40</f>
        <v>13755</v>
      </c>
      <c r="K232" s="23">
        <v>13765</v>
      </c>
      <c r="L232" s="23">
        <v>13775</v>
      </c>
      <c r="M232" s="23">
        <v>13785</v>
      </c>
      <c r="N232" s="23">
        <v>13795</v>
      </c>
      <c r="O232" s="41"/>
      <c r="P232" s="41">
        <f>J232+40</f>
        <v>13795</v>
      </c>
      <c r="Q232" s="23">
        <v>13805</v>
      </c>
      <c r="R232" s="23">
        <v>13815</v>
      </c>
      <c r="S232" s="23">
        <v>13825</v>
      </c>
      <c r="T232" s="23">
        <v>13835</v>
      </c>
      <c r="U232" s="41"/>
      <c r="V232" s="41">
        <f>P232+40</f>
        <v>13835</v>
      </c>
      <c r="W232" s="23">
        <v>13852</v>
      </c>
      <c r="X232" s="23">
        <v>13868</v>
      </c>
      <c r="Y232" s="23">
        <v>13885</v>
      </c>
      <c r="Z232" s="23">
        <v>13901</v>
      </c>
      <c r="AA232" s="41"/>
      <c r="AB232" s="41">
        <v>13901</v>
      </c>
      <c r="AC232" s="41">
        <v>13901</v>
      </c>
      <c r="AD232" s="41">
        <v>13901</v>
      </c>
      <c r="AE232" s="41">
        <v>13901</v>
      </c>
      <c r="AF232" s="23">
        <v>13901</v>
      </c>
      <c r="AG232" s="41"/>
      <c r="AH232" s="41">
        <v>13901</v>
      </c>
    </row>
    <row r="233" spans="1:34" x14ac:dyDescent="0.2">
      <c r="A233" s="289"/>
      <c r="B233" s="284"/>
      <c r="C233" s="284"/>
      <c r="D233" s="25" t="s">
        <v>32</v>
      </c>
      <c r="E233" s="26">
        <v>380.72899999999998</v>
      </c>
      <c r="F233" s="26">
        <v>380.72899999999998</v>
      </c>
      <c r="G233" s="26">
        <v>380.72899999999998</v>
      </c>
      <c r="H233" s="26">
        <v>380.72899999999998</v>
      </c>
      <c r="I233" s="26"/>
      <c r="J233" s="26">
        <v>380.72899999999998</v>
      </c>
      <c r="K233" s="26">
        <v>380.72899999999998</v>
      </c>
      <c r="L233" s="26">
        <v>380.72899999999998</v>
      </c>
      <c r="M233" s="26">
        <v>380.72899999999998</v>
      </c>
      <c r="N233" s="26">
        <v>380.72899999999998</v>
      </c>
      <c r="O233" s="26"/>
      <c r="P233" s="26">
        <v>380.72899999999998</v>
      </c>
      <c r="Q233" s="26">
        <v>380.72899999999998</v>
      </c>
      <c r="R233" s="26">
        <v>380.72899999999998</v>
      </c>
      <c r="S233" s="26">
        <v>380.72899999999998</v>
      </c>
      <c r="T233" s="26">
        <v>380.72899999999998</v>
      </c>
      <c r="U233" s="26"/>
      <c r="V233" s="26">
        <v>380.72899999999998</v>
      </c>
      <c r="W233" s="44">
        <v>391.92899999999997</v>
      </c>
      <c r="X233" s="44">
        <v>391.92899999999997</v>
      </c>
      <c r="Y233" s="44">
        <v>391.92899999999997</v>
      </c>
      <c r="Z233" s="44">
        <v>391.92899999999997</v>
      </c>
      <c r="AA233" s="26"/>
      <c r="AB233" s="44">
        <v>391.93</v>
      </c>
      <c r="AC233" s="44">
        <v>391.93</v>
      </c>
      <c r="AD233" s="44">
        <v>391.93</v>
      </c>
      <c r="AE233" s="44">
        <v>391.93</v>
      </c>
      <c r="AF233" s="44">
        <v>391.93</v>
      </c>
      <c r="AG233" s="26"/>
      <c r="AH233" s="26">
        <v>391.93</v>
      </c>
    </row>
    <row r="234" spans="1:34" x14ac:dyDescent="0.2">
      <c r="A234" s="289"/>
      <c r="B234" s="284" t="s">
        <v>48</v>
      </c>
      <c r="C234" s="284"/>
      <c r="D234" s="24" t="s">
        <v>143</v>
      </c>
      <c r="E234" s="41">
        <v>125929</v>
      </c>
      <c r="F234" s="41">
        <v>125929</v>
      </c>
      <c r="G234" s="41">
        <v>125929</v>
      </c>
      <c r="H234" s="41">
        <f>H235*93/100</f>
        <v>125928.51</v>
      </c>
      <c r="I234" s="41"/>
      <c r="J234" s="41">
        <v>126648.08</v>
      </c>
      <c r="K234" s="19">
        <v>126648.08</v>
      </c>
      <c r="L234" s="41">
        <v>126648.08</v>
      </c>
      <c r="M234" s="41">
        <v>126648.08</v>
      </c>
      <c r="N234" s="41">
        <v>126648.08</v>
      </c>
      <c r="O234" s="41"/>
      <c r="P234" s="41">
        <f>P235*94/100</f>
        <v>126648.08</v>
      </c>
      <c r="Q234" s="41">
        <f>Q235*95/100</f>
        <v>127358.9</v>
      </c>
      <c r="R234" s="41">
        <f>R235*95/100</f>
        <v>127358.9</v>
      </c>
      <c r="S234" s="41">
        <f>S235*95/100</f>
        <v>127358.9</v>
      </c>
      <c r="T234" s="41">
        <f>T235*95/100</f>
        <v>127358.9</v>
      </c>
      <c r="U234" s="41"/>
      <c r="V234" s="41">
        <f>V235*95/100</f>
        <v>127358.9</v>
      </c>
      <c r="W234" s="19">
        <v>130724.16</v>
      </c>
      <c r="X234" s="19">
        <v>130724.16</v>
      </c>
      <c r="Y234" s="19">
        <v>130724.16</v>
      </c>
      <c r="Z234" s="19">
        <v>130724.16</v>
      </c>
      <c r="AA234" s="41"/>
      <c r="AB234" s="41">
        <f>AB235*98/100</f>
        <v>130724.16</v>
      </c>
      <c r="AC234" s="41">
        <f>AC235*99/100</f>
        <v>131394.78</v>
      </c>
      <c r="AD234" s="41">
        <f>AD235*99/100</f>
        <v>131394.78</v>
      </c>
      <c r="AE234" s="41">
        <f>AE235*99/100</f>
        <v>131394.78</v>
      </c>
      <c r="AF234" s="41">
        <f>AF235*99/100</f>
        <v>131394.78</v>
      </c>
      <c r="AG234" s="41"/>
      <c r="AH234" s="41">
        <f>AH235*99/100</f>
        <v>131394.78</v>
      </c>
    </row>
    <row r="235" spans="1:34" ht="42" customHeight="1" x14ac:dyDescent="0.2">
      <c r="A235" s="289"/>
      <c r="B235" s="284"/>
      <c r="C235" s="284"/>
      <c r="D235" s="24" t="s">
        <v>143</v>
      </c>
      <c r="E235" s="23">
        <v>135407</v>
      </c>
      <c r="F235" s="23">
        <v>135407</v>
      </c>
      <c r="G235" s="23">
        <v>135407</v>
      </c>
      <c r="H235" s="23">
        <v>135407</v>
      </c>
      <c r="I235" s="41"/>
      <c r="J235" s="41">
        <f>136087-680</f>
        <v>135407</v>
      </c>
      <c r="K235" s="23">
        <v>134732</v>
      </c>
      <c r="L235" s="23">
        <v>134732</v>
      </c>
      <c r="M235" s="23">
        <v>134732</v>
      </c>
      <c r="N235" s="23">
        <v>134732</v>
      </c>
      <c r="O235" s="41"/>
      <c r="P235" s="41">
        <f>J235-675</f>
        <v>134732</v>
      </c>
      <c r="Q235" s="41">
        <v>134062</v>
      </c>
      <c r="R235" s="41">
        <v>134062</v>
      </c>
      <c r="S235" s="41">
        <v>134062</v>
      </c>
      <c r="T235" s="41">
        <v>134062</v>
      </c>
      <c r="U235" s="41"/>
      <c r="V235" s="41">
        <f>P235-670</f>
        <v>134062</v>
      </c>
      <c r="W235" s="41">
        <v>133392</v>
      </c>
      <c r="X235" s="41">
        <v>133392</v>
      </c>
      <c r="Y235" s="41">
        <v>133392</v>
      </c>
      <c r="Z235" s="41">
        <v>133392</v>
      </c>
      <c r="AA235" s="41"/>
      <c r="AB235" s="41">
        <f>V235-670</f>
        <v>133392</v>
      </c>
      <c r="AC235" s="41">
        <f>W235-670</f>
        <v>132722</v>
      </c>
      <c r="AD235" s="41">
        <f>X235-670</f>
        <v>132722</v>
      </c>
      <c r="AE235" s="41">
        <f>Y235-670</f>
        <v>132722</v>
      </c>
      <c r="AF235" s="41">
        <f>Z235-670</f>
        <v>132722</v>
      </c>
      <c r="AG235" s="41"/>
      <c r="AH235" s="41">
        <f>AB235-670</f>
        <v>132722</v>
      </c>
    </row>
    <row r="236" spans="1:34" x14ac:dyDescent="0.2">
      <c r="A236" s="17">
        <v>3.2</v>
      </c>
      <c r="B236" s="264" t="s">
        <v>37</v>
      </c>
      <c r="C236" s="265"/>
      <c r="D236" s="265"/>
      <c r="E236" s="265"/>
      <c r="F236" s="265"/>
      <c r="G236" s="265"/>
      <c r="H236" s="265"/>
      <c r="I236" s="265"/>
      <c r="J236" s="265"/>
      <c r="K236" s="265"/>
      <c r="L236" s="265"/>
      <c r="M236" s="265"/>
      <c r="N236" s="265"/>
      <c r="O236" s="265"/>
      <c r="P236" s="265"/>
      <c r="Q236" s="265"/>
      <c r="R236" s="265"/>
      <c r="S236" s="265"/>
      <c r="T236" s="265"/>
      <c r="U236" s="265"/>
      <c r="V236" s="265"/>
      <c r="W236" s="265"/>
      <c r="X236" s="265"/>
      <c r="Y236" s="265"/>
      <c r="Z236" s="265"/>
      <c r="AA236" s="265"/>
      <c r="AB236" s="265"/>
      <c r="AC236" s="265"/>
      <c r="AD236" s="265"/>
      <c r="AE236" s="265"/>
      <c r="AF236" s="265"/>
      <c r="AG236" s="265"/>
      <c r="AH236" s="265"/>
    </row>
    <row r="237" spans="1:34" x14ac:dyDescent="0.2">
      <c r="A237" s="283"/>
      <c r="B237" s="284" t="s">
        <v>102</v>
      </c>
      <c r="C237" s="52"/>
      <c r="D237" s="273" t="s">
        <v>78</v>
      </c>
      <c r="E237" s="246">
        <v>0</v>
      </c>
      <c r="F237" s="246">
        <v>0</v>
      </c>
      <c r="G237" s="246">
        <v>0</v>
      </c>
      <c r="H237" s="246">
        <v>0</v>
      </c>
      <c r="I237" s="45"/>
      <c r="J237" s="246">
        <v>0</v>
      </c>
      <c r="K237" s="246">
        <v>0</v>
      </c>
      <c r="L237" s="246">
        <v>0</v>
      </c>
      <c r="M237" s="246">
        <v>0</v>
      </c>
      <c r="N237" s="246">
        <v>0</v>
      </c>
      <c r="O237" s="45"/>
      <c r="P237" s="246">
        <v>0</v>
      </c>
      <c r="Q237" s="246">
        <v>0</v>
      </c>
      <c r="R237" s="246">
        <v>0</v>
      </c>
      <c r="S237" s="246">
        <v>0</v>
      </c>
      <c r="T237" s="246">
        <v>0</v>
      </c>
      <c r="U237" s="45"/>
      <c r="V237" s="246">
        <v>0</v>
      </c>
      <c r="W237" s="246">
        <v>0</v>
      </c>
      <c r="X237" s="246">
        <v>0</v>
      </c>
      <c r="Y237" s="246">
        <v>0</v>
      </c>
      <c r="Z237" s="246">
        <v>0</v>
      </c>
      <c r="AA237" s="45"/>
      <c r="AB237" s="246">
        <v>0</v>
      </c>
      <c r="AC237" s="246">
        <v>0</v>
      </c>
      <c r="AD237" s="246">
        <v>0</v>
      </c>
      <c r="AE237" s="246">
        <v>0</v>
      </c>
      <c r="AF237" s="246">
        <v>0</v>
      </c>
      <c r="AG237" s="45"/>
      <c r="AH237" s="246">
        <v>0</v>
      </c>
    </row>
    <row r="238" spans="1:34" ht="15.75" customHeight="1" x14ac:dyDescent="0.2">
      <c r="A238" s="265"/>
      <c r="B238" s="285"/>
      <c r="C238" s="42" t="s">
        <v>26</v>
      </c>
      <c r="D238" s="273"/>
      <c r="E238" s="247"/>
      <c r="F238" s="247"/>
      <c r="G238" s="247"/>
      <c r="H238" s="247"/>
      <c r="I238" s="45"/>
      <c r="J238" s="247"/>
      <c r="K238" s="247"/>
      <c r="L238" s="247"/>
      <c r="M238" s="247"/>
      <c r="N238" s="247"/>
      <c r="O238" s="45"/>
      <c r="P238" s="247"/>
      <c r="Q238" s="247"/>
      <c r="R238" s="247"/>
      <c r="S238" s="247"/>
      <c r="T238" s="247"/>
      <c r="U238" s="45"/>
      <c r="V238" s="247"/>
      <c r="W238" s="247"/>
      <c r="X238" s="247"/>
      <c r="Y238" s="247"/>
      <c r="Z238" s="247"/>
      <c r="AA238" s="45"/>
      <c r="AB238" s="247"/>
      <c r="AC238" s="247"/>
      <c r="AD238" s="247"/>
      <c r="AE238" s="247"/>
      <c r="AF238" s="247"/>
      <c r="AG238" s="45"/>
      <c r="AH238" s="247"/>
    </row>
    <row r="239" spans="1:34" x14ac:dyDescent="0.2">
      <c r="A239" s="265"/>
      <c r="B239" s="285"/>
      <c r="C239" s="286" t="s">
        <v>7</v>
      </c>
      <c r="D239" s="273" t="s">
        <v>78</v>
      </c>
      <c r="E239" s="246">
        <v>0.09</v>
      </c>
      <c r="F239" s="246">
        <v>0.09</v>
      </c>
      <c r="G239" s="246">
        <v>0.09</v>
      </c>
      <c r="H239" s="246">
        <v>0.09</v>
      </c>
      <c r="I239" s="45"/>
      <c r="J239" s="246">
        <v>0.09</v>
      </c>
      <c r="K239" s="246">
        <v>0.09</v>
      </c>
      <c r="L239" s="246">
        <v>0.09</v>
      </c>
      <c r="M239" s="246">
        <v>0.09</v>
      </c>
      <c r="N239" s="246">
        <v>0.09</v>
      </c>
      <c r="O239" s="45"/>
      <c r="P239" s="246">
        <v>0.09</v>
      </c>
      <c r="Q239" s="246">
        <v>0.09</v>
      </c>
      <c r="R239" s="246">
        <v>0.09</v>
      </c>
      <c r="S239" s="246">
        <v>0.09</v>
      </c>
      <c r="T239" s="246">
        <v>0.09</v>
      </c>
      <c r="U239" s="45"/>
      <c r="V239" s="246">
        <v>0.09</v>
      </c>
      <c r="W239" s="246">
        <v>0.09</v>
      </c>
      <c r="X239" s="246">
        <v>0.09</v>
      </c>
      <c r="Y239" s="246">
        <v>0.09</v>
      </c>
      <c r="Z239" s="246">
        <v>0.09</v>
      </c>
      <c r="AA239" s="45"/>
      <c r="AB239" s="246">
        <v>0.09</v>
      </c>
      <c r="AC239" s="246">
        <v>0.09</v>
      </c>
      <c r="AD239" s="246">
        <v>0.09</v>
      </c>
      <c r="AE239" s="246">
        <v>0.09</v>
      </c>
      <c r="AF239" s="246">
        <v>0.09</v>
      </c>
      <c r="AG239" s="45"/>
      <c r="AH239" s="246">
        <v>0.09</v>
      </c>
    </row>
    <row r="240" spans="1:34" x14ac:dyDescent="0.2">
      <c r="A240" s="265"/>
      <c r="B240" s="285"/>
      <c r="C240" s="287"/>
      <c r="D240" s="273"/>
      <c r="E240" s="247"/>
      <c r="F240" s="247"/>
      <c r="G240" s="247"/>
      <c r="H240" s="247"/>
      <c r="I240" s="45"/>
      <c r="J240" s="247"/>
      <c r="K240" s="247"/>
      <c r="L240" s="247"/>
      <c r="M240" s="247"/>
      <c r="N240" s="247"/>
      <c r="O240" s="45"/>
      <c r="P240" s="247"/>
      <c r="Q240" s="247"/>
      <c r="R240" s="247"/>
      <c r="S240" s="247"/>
      <c r="T240" s="247"/>
      <c r="U240" s="45"/>
      <c r="V240" s="247"/>
      <c r="W240" s="247"/>
      <c r="X240" s="247"/>
      <c r="Y240" s="247"/>
      <c r="Z240" s="247"/>
      <c r="AA240" s="45"/>
      <c r="AB240" s="247"/>
      <c r="AC240" s="247"/>
      <c r="AD240" s="247"/>
      <c r="AE240" s="247"/>
      <c r="AF240" s="247"/>
      <c r="AG240" s="45"/>
      <c r="AH240" s="247"/>
    </row>
    <row r="241" spans="1:34" ht="42.6" customHeight="1" x14ac:dyDescent="0.2">
      <c r="A241" s="265"/>
      <c r="B241" s="285"/>
      <c r="C241" s="286" t="s">
        <v>8</v>
      </c>
      <c r="D241" s="273" t="s">
        <v>78</v>
      </c>
      <c r="E241" s="246">
        <v>0.02</v>
      </c>
      <c r="F241" s="246">
        <v>0.02</v>
      </c>
      <c r="G241" s="246">
        <v>0.02</v>
      </c>
      <c r="H241" s="246">
        <v>0.02</v>
      </c>
      <c r="I241" s="45"/>
      <c r="J241" s="246">
        <v>0.02</v>
      </c>
      <c r="K241" s="246">
        <v>0.02</v>
      </c>
      <c r="L241" s="246">
        <v>0.02</v>
      </c>
      <c r="M241" s="246">
        <v>0.02</v>
      </c>
      <c r="N241" s="246">
        <v>0.02</v>
      </c>
      <c r="O241" s="45"/>
      <c r="P241" s="246">
        <v>0.02</v>
      </c>
      <c r="Q241" s="246">
        <v>0.02</v>
      </c>
      <c r="R241" s="246">
        <v>0.02</v>
      </c>
      <c r="S241" s="246">
        <v>0.02</v>
      </c>
      <c r="T241" s="246">
        <v>0.02</v>
      </c>
      <c r="U241" s="45"/>
      <c r="V241" s="246">
        <v>0.02</v>
      </c>
      <c r="W241" s="246">
        <v>0.02</v>
      </c>
      <c r="X241" s="246">
        <v>0.02</v>
      </c>
      <c r="Y241" s="246">
        <v>0.02</v>
      </c>
      <c r="Z241" s="246">
        <v>0.02</v>
      </c>
      <c r="AA241" s="45"/>
      <c r="AB241" s="246">
        <v>0.02</v>
      </c>
      <c r="AC241" s="246">
        <v>0.02</v>
      </c>
      <c r="AD241" s="246">
        <v>0.02</v>
      </c>
      <c r="AE241" s="246">
        <v>0.02</v>
      </c>
      <c r="AF241" s="246">
        <v>0.02</v>
      </c>
      <c r="AG241" s="45"/>
      <c r="AH241" s="246">
        <v>0.02</v>
      </c>
    </row>
    <row r="242" spans="1:34" ht="18" customHeight="1" x14ac:dyDescent="0.2">
      <c r="A242" s="265"/>
      <c r="B242" s="285"/>
      <c r="C242" s="287"/>
      <c r="D242" s="273"/>
      <c r="E242" s="247"/>
      <c r="F242" s="247"/>
      <c r="G242" s="247"/>
      <c r="H242" s="247"/>
      <c r="I242" s="45"/>
      <c r="J242" s="247"/>
      <c r="K242" s="247"/>
      <c r="L242" s="247"/>
      <c r="M242" s="247"/>
      <c r="N242" s="247"/>
      <c r="O242" s="45"/>
      <c r="P242" s="247"/>
      <c r="Q242" s="247"/>
      <c r="R242" s="247"/>
      <c r="S242" s="247"/>
      <c r="T242" s="247"/>
      <c r="U242" s="45"/>
      <c r="V242" s="247"/>
      <c r="W242" s="247"/>
      <c r="X242" s="247"/>
      <c r="Y242" s="247"/>
      <c r="Z242" s="247"/>
      <c r="AA242" s="45"/>
      <c r="AB242" s="247"/>
      <c r="AC242" s="247"/>
      <c r="AD242" s="247"/>
      <c r="AE242" s="247"/>
      <c r="AF242" s="247"/>
      <c r="AG242" s="45"/>
      <c r="AH242" s="247"/>
    </row>
    <row r="243" spans="1:34" x14ac:dyDescent="0.2">
      <c r="A243" s="265"/>
      <c r="B243" s="288" t="s">
        <v>103</v>
      </c>
      <c r="C243" s="286" t="s">
        <v>26</v>
      </c>
      <c r="D243" s="273" t="s">
        <v>78</v>
      </c>
      <c r="E243" s="246">
        <v>0</v>
      </c>
      <c r="F243" s="246">
        <v>0</v>
      </c>
      <c r="G243" s="246">
        <v>0</v>
      </c>
      <c r="H243" s="246">
        <v>0</v>
      </c>
      <c r="I243" s="45"/>
      <c r="J243" s="246">
        <v>0</v>
      </c>
      <c r="K243" s="246">
        <v>0</v>
      </c>
      <c r="L243" s="246">
        <v>0</v>
      </c>
      <c r="M243" s="246">
        <v>0</v>
      </c>
      <c r="N243" s="246">
        <v>0</v>
      </c>
      <c r="O243" s="45"/>
      <c r="P243" s="246">
        <v>0</v>
      </c>
      <c r="Q243" s="246">
        <v>0</v>
      </c>
      <c r="R243" s="246">
        <v>0</v>
      </c>
      <c r="S243" s="246">
        <v>0</v>
      </c>
      <c r="T243" s="246">
        <v>0</v>
      </c>
      <c r="U243" s="45"/>
      <c r="V243" s="246">
        <v>0</v>
      </c>
      <c r="W243" s="246">
        <v>0</v>
      </c>
      <c r="X243" s="246">
        <v>0</v>
      </c>
      <c r="Y243" s="246">
        <v>0</v>
      </c>
      <c r="Z243" s="246">
        <v>0</v>
      </c>
      <c r="AA243" s="45"/>
      <c r="AB243" s="246">
        <v>0</v>
      </c>
      <c r="AC243" s="246">
        <v>0</v>
      </c>
      <c r="AD243" s="246">
        <v>0</v>
      </c>
      <c r="AE243" s="246">
        <v>0</v>
      </c>
      <c r="AF243" s="246">
        <v>0</v>
      </c>
      <c r="AG243" s="45"/>
      <c r="AH243" s="246">
        <v>0</v>
      </c>
    </row>
    <row r="244" spans="1:34" x14ac:dyDescent="0.2">
      <c r="A244" s="265"/>
      <c r="B244" s="288"/>
      <c r="C244" s="287"/>
      <c r="D244" s="273"/>
      <c r="E244" s="247"/>
      <c r="F244" s="247"/>
      <c r="G244" s="247"/>
      <c r="H244" s="247"/>
      <c r="I244" s="45"/>
      <c r="J244" s="247"/>
      <c r="K244" s="247"/>
      <c r="L244" s="247"/>
      <c r="M244" s="247"/>
      <c r="N244" s="247"/>
      <c r="O244" s="45"/>
      <c r="P244" s="247"/>
      <c r="Q244" s="247"/>
      <c r="R244" s="247"/>
      <c r="S244" s="247"/>
      <c r="T244" s="247"/>
      <c r="U244" s="45"/>
      <c r="V244" s="247"/>
      <c r="W244" s="247"/>
      <c r="X244" s="247"/>
      <c r="Y244" s="247"/>
      <c r="Z244" s="247"/>
      <c r="AA244" s="45"/>
      <c r="AB244" s="247"/>
      <c r="AC244" s="247"/>
      <c r="AD244" s="247"/>
      <c r="AE244" s="247"/>
      <c r="AF244" s="247"/>
      <c r="AG244" s="45"/>
      <c r="AH244" s="247"/>
    </row>
    <row r="245" spans="1:34" x14ac:dyDescent="0.2">
      <c r="A245" s="265"/>
      <c r="B245" s="288"/>
      <c r="C245" s="286" t="s">
        <v>7</v>
      </c>
      <c r="D245" s="273" t="s">
        <v>78</v>
      </c>
      <c r="E245" s="246">
        <v>0</v>
      </c>
      <c r="F245" s="246">
        <v>0</v>
      </c>
      <c r="G245" s="246">
        <v>0</v>
      </c>
      <c r="H245" s="246">
        <v>0</v>
      </c>
      <c r="I245" s="45"/>
      <c r="J245" s="246">
        <v>0</v>
      </c>
      <c r="K245" s="246">
        <v>0</v>
      </c>
      <c r="L245" s="246">
        <v>0</v>
      </c>
      <c r="M245" s="246">
        <v>0</v>
      </c>
      <c r="N245" s="246">
        <v>0</v>
      </c>
      <c r="O245" s="45"/>
      <c r="P245" s="246">
        <v>0</v>
      </c>
      <c r="Q245" s="246">
        <v>0</v>
      </c>
      <c r="R245" s="246">
        <v>0</v>
      </c>
      <c r="S245" s="246">
        <v>0</v>
      </c>
      <c r="T245" s="246">
        <v>0</v>
      </c>
      <c r="U245" s="45"/>
      <c r="V245" s="246">
        <v>0</v>
      </c>
      <c r="W245" s="246">
        <v>0</v>
      </c>
      <c r="X245" s="246">
        <v>0</v>
      </c>
      <c r="Y245" s="246">
        <v>0</v>
      </c>
      <c r="Z245" s="246">
        <v>0</v>
      </c>
      <c r="AA245" s="45"/>
      <c r="AB245" s="246">
        <v>0</v>
      </c>
      <c r="AC245" s="246">
        <v>0</v>
      </c>
      <c r="AD245" s="246">
        <v>0</v>
      </c>
      <c r="AE245" s="246">
        <v>0</v>
      </c>
      <c r="AF245" s="246">
        <v>0</v>
      </c>
      <c r="AG245" s="45"/>
      <c r="AH245" s="246">
        <v>0</v>
      </c>
    </row>
    <row r="246" spans="1:34" x14ac:dyDescent="0.2">
      <c r="A246" s="265"/>
      <c r="B246" s="288"/>
      <c r="C246" s="287"/>
      <c r="D246" s="273"/>
      <c r="E246" s="247"/>
      <c r="F246" s="247"/>
      <c r="G246" s="247"/>
      <c r="H246" s="247"/>
      <c r="I246" s="45"/>
      <c r="J246" s="247"/>
      <c r="K246" s="247"/>
      <c r="L246" s="247"/>
      <c r="M246" s="247"/>
      <c r="N246" s="247"/>
      <c r="O246" s="45"/>
      <c r="P246" s="247"/>
      <c r="Q246" s="247"/>
      <c r="R246" s="247"/>
      <c r="S246" s="247"/>
      <c r="T246" s="247"/>
      <c r="U246" s="45"/>
      <c r="V246" s="247"/>
      <c r="W246" s="247"/>
      <c r="X246" s="247"/>
      <c r="Y246" s="247"/>
      <c r="Z246" s="247"/>
      <c r="AA246" s="45"/>
      <c r="AB246" s="247"/>
      <c r="AC246" s="247"/>
      <c r="AD246" s="247"/>
      <c r="AE246" s="247"/>
      <c r="AF246" s="247"/>
      <c r="AG246" s="45"/>
      <c r="AH246" s="247"/>
    </row>
    <row r="247" spans="1:34" x14ac:dyDescent="0.2">
      <c r="A247" s="265"/>
      <c r="B247" s="288"/>
      <c r="C247" s="287" t="s">
        <v>8</v>
      </c>
      <c r="D247" s="273" t="s">
        <v>78</v>
      </c>
      <c r="E247" s="246">
        <v>0</v>
      </c>
      <c r="F247" s="246">
        <v>0</v>
      </c>
      <c r="G247" s="246">
        <v>0</v>
      </c>
      <c r="H247" s="246">
        <v>0</v>
      </c>
      <c r="I247" s="45"/>
      <c r="J247" s="246">
        <v>0</v>
      </c>
      <c r="K247" s="246">
        <v>0</v>
      </c>
      <c r="L247" s="246">
        <v>0</v>
      </c>
      <c r="M247" s="246">
        <v>0</v>
      </c>
      <c r="N247" s="246">
        <v>0</v>
      </c>
      <c r="O247" s="45"/>
      <c r="P247" s="246">
        <v>0</v>
      </c>
      <c r="Q247" s="246">
        <v>0</v>
      </c>
      <c r="R247" s="246">
        <v>0</v>
      </c>
      <c r="S247" s="246">
        <v>0</v>
      </c>
      <c r="T247" s="246">
        <v>0</v>
      </c>
      <c r="U247" s="45"/>
      <c r="V247" s="246">
        <v>0</v>
      </c>
      <c r="W247" s="246">
        <v>0</v>
      </c>
      <c r="X247" s="246">
        <v>0</v>
      </c>
      <c r="Y247" s="246">
        <v>0</v>
      </c>
      <c r="Z247" s="246">
        <v>0</v>
      </c>
      <c r="AA247" s="45"/>
      <c r="AB247" s="246">
        <v>0</v>
      </c>
      <c r="AC247" s="246">
        <v>0</v>
      </c>
      <c r="AD247" s="246">
        <v>0</v>
      </c>
      <c r="AE247" s="246">
        <v>0</v>
      </c>
      <c r="AF247" s="246">
        <v>0</v>
      </c>
      <c r="AG247" s="45"/>
      <c r="AH247" s="246">
        <v>0</v>
      </c>
    </row>
    <row r="248" spans="1:34" ht="44.4" customHeight="1" x14ac:dyDescent="0.2">
      <c r="A248" s="265"/>
      <c r="B248" s="288"/>
      <c r="C248" s="287"/>
      <c r="D248" s="273"/>
      <c r="E248" s="247"/>
      <c r="F248" s="247"/>
      <c r="G248" s="247"/>
      <c r="H248" s="247"/>
      <c r="I248" s="45"/>
      <c r="J248" s="247"/>
      <c r="K248" s="247"/>
      <c r="L248" s="247"/>
      <c r="M248" s="247"/>
      <c r="N248" s="247"/>
      <c r="O248" s="45"/>
      <c r="P248" s="247"/>
      <c r="Q248" s="247"/>
      <c r="R248" s="247"/>
      <c r="S248" s="247"/>
      <c r="T248" s="247"/>
      <c r="U248" s="45"/>
      <c r="V248" s="247"/>
      <c r="W248" s="247"/>
      <c r="X248" s="247"/>
      <c r="Y248" s="247"/>
      <c r="Z248" s="247"/>
      <c r="AA248" s="45"/>
      <c r="AB248" s="247"/>
      <c r="AC248" s="247"/>
      <c r="AD248" s="247"/>
      <c r="AE248" s="247"/>
      <c r="AF248" s="247"/>
      <c r="AG248" s="45"/>
      <c r="AH248" s="247"/>
    </row>
    <row r="249" spans="1:34" x14ac:dyDescent="0.2">
      <c r="A249" s="265"/>
      <c r="B249" s="284" t="s">
        <v>49</v>
      </c>
      <c r="C249" s="284" t="s">
        <v>26</v>
      </c>
      <c r="D249" s="273" t="s">
        <v>78</v>
      </c>
      <c r="E249" s="246">
        <v>0</v>
      </c>
      <c r="F249" s="246">
        <v>0</v>
      </c>
      <c r="G249" s="246">
        <v>0</v>
      </c>
      <c r="H249" s="246">
        <v>0</v>
      </c>
      <c r="I249" s="45"/>
      <c r="J249" s="246">
        <v>0</v>
      </c>
      <c r="K249" s="246">
        <v>0</v>
      </c>
      <c r="L249" s="246">
        <v>0</v>
      </c>
      <c r="M249" s="246">
        <v>0</v>
      </c>
      <c r="N249" s="246">
        <v>0</v>
      </c>
      <c r="O249" s="45"/>
      <c r="P249" s="246">
        <v>0</v>
      </c>
      <c r="Q249" s="246">
        <v>0</v>
      </c>
      <c r="R249" s="246">
        <v>0</v>
      </c>
      <c r="S249" s="246">
        <v>0</v>
      </c>
      <c r="T249" s="246">
        <v>0</v>
      </c>
      <c r="U249" s="45"/>
      <c r="V249" s="246">
        <v>0</v>
      </c>
      <c r="W249" s="246">
        <v>0</v>
      </c>
      <c r="X249" s="246">
        <v>0</v>
      </c>
      <c r="Y249" s="246">
        <v>0</v>
      </c>
      <c r="Z249" s="246">
        <v>0</v>
      </c>
      <c r="AA249" s="45"/>
      <c r="AB249" s="246">
        <v>0</v>
      </c>
      <c r="AC249" s="246">
        <v>0</v>
      </c>
      <c r="AD249" s="246">
        <v>0</v>
      </c>
      <c r="AE249" s="246">
        <v>0</v>
      </c>
      <c r="AF249" s="246">
        <v>0</v>
      </c>
      <c r="AG249" s="45"/>
      <c r="AH249" s="246">
        <v>0</v>
      </c>
    </row>
    <row r="250" spans="1:34" x14ac:dyDescent="0.2">
      <c r="A250" s="265"/>
      <c r="B250" s="284"/>
      <c r="C250" s="284"/>
      <c r="D250" s="273"/>
      <c r="E250" s="247"/>
      <c r="F250" s="247"/>
      <c r="G250" s="247"/>
      <c r="H250" s="247"/>
      <c r="I250" s="45"/>
      <c r="J250" s="247"/>
      <c r="K250" s="247"/>
      <c r="L250" s="247"/>
      <c r="M250" s="247"/>
      <c r="N250" s="247"/>
      <c r="O250" s="45"/>
      <c r="P250" s="247"/>
      <c r="Q250" s="247"/>
      <c r="R250" s="247"/>
      <c r="S250" s="247"/>
      <c r="T250" s="247"/>
      <c r="U250" s="45"/>
      <c r="V250" s="247"/>
      <c r="W250" s="247"/>
      <c r="X250" s="247"/>
      <c r="Y250" s="247"/>
      <c r="Z250" s="247"/>
      <c r="AA250" s="45"/>
      <c r="AB250" s="247"/>
      <c r="AC250" s="247"/>
      <c r="AD250" s="247"/>
      <c r="AE250" s="247"/>
      <c r="AF250" s="247"/>
      <c r="AG250" s="45"/>
      <c r="AH250" s="247"/>
    </row>
    <row r="251" spans="1:34" ht="27.6" customHeight="1" x14ac:dyDescent="0.2">
      <c r="A251" s="265"/>
      <c r="B251" s="284"/>
      <c r="C251" s="284" t="s">
        <v>7</v>
      </c>
      <c r="D251" s="273" t="s">
        <v>78</v>
      </c>
      <c r="E251" s="246">
        <v>0.03</v>
      </c>
      <c r="F251" s="246">
        <v>0.03</v>
      </c>
      <c r="G251" s="246">
        <v>0.03</v>
      </c>
      <c r="H251" s="246">
        <v>0.03</v>
      </c>
      <c r="I251" s="45"/>
      <c r="J251" s="246">
        <v>0.03</v>
      </c>
      <c r="K251" s="246">
        <v>0.03</v>
      </c>
      <c r="L251" s="246">
        <v>0.03</v>
      </c>
      <c r="M251" s="246">
        <v>0.03</v>
      </c>
      <c r="N251" s="246">
        <v>0.03</v>
      </c>
      <c r="O251" s="45"/>
      <c r="P251" s="246">
        <v>0.03</v>
      </c>
      <c r="Q251" s="246">
        <v>0.03</v>
      </c>
      <c r="R251" s="246">
        <v>0.03</v>
      </c>
      <c r="S251" s="246">
        <v>0.03</v>
      </c>
      <c r="T251" s="246">
        <v>0.03</v>
      </c>
      <c r="U251" s="45"/>
      <c r="V251" s="246">
        <v>0.03</v>
      </c>
      <c r="W251" s="246">
        <v>0.03</v>
      </c>
      <c r="X251" s="246">
        <v>0.03</v>
      </c>
      <c r="Y251" s="246">
        <v>0.03</v>
      </c>
      <c r="Z251" s="246">
        <v>0.03</v>
      </c>
      <c r="AA251" s="45"/>
      <c r="AB251" s="246">
        <v>0.03</v>
      </c>
      <c r="AC251" s="246">
        <v>0.03</v>
      </c>
      <c r="AD251" s="246">
        <v>0.03</v>
      </c>
      <c r="AE251" s="246">
        <v>0.03</v>
      </c>
      <c r="AF251" s="246">
        <v>0.03</v>
      </c>
      <c r="AG251" s="45"/>
      <c r="AH251" s="246">
        <v>0.03</v>
      </c>
    </row>
    <row r="252" spans="1:34" ht="24.6" customHeight="1" x14ac:dyDescent="0.2">
      <c r="A252" s="265"/>
      <c r="B252" s="284"/>
      <c r="C252" s="284"/>
      <c r="D252" s="273"/>
      <c r="E252" s="247"/>
      <c r="F252" s="247"/>
      <c r="G252" s="247"/>
      <c r="H252" s="247"/>
      <c r="I252" s="45"/>
      <c r="J252" s="247"/>
      <c r="K252" s="247"/>
      <c r="L252" s="247"/>
      <c r="M252" s="247"/>
      <c r="N252" s="247"/>
      <c r="O252" s="45"/>
      <c r="P252" s="247"/>
      <c r="Q252" s="247"/>
      <c r="R252" s="247"/>
      <c r="S252" s="247"/>
      <c r="T252" s="247"/>
      <c r="U252" s="45"/>
      <c r="V252" s="247"/>
      <c r="W252" s="247"/>
      <c r="X252" s="247"/>
      <c r="Y252" s="247"/>
      <c r="Z252" s="247"/>
      <c r="AA252" s="45"/>
      <c r="AB252" s="247"/>
      <c r="AC252" s="247"/>
      <c r="AD252" s="247"/>
      <c r="AE252" s="247"/>
      <c r="AF252" s="247"/>
      <c r="AG252" s="45"/>
      <c r="AH252" s="247"/>
    </row>
    <row r="253" spans="1:34" ht="39.6" customHeight="1" x14ac:dyDescent="0.2">
      <c r="A253" s="265"/>
      <c r="B253" s="284"/>
      <c r="C253" s="284" t="s">
        <v>8</v>
      </c>
      <c r="D253" s="273" t="s">
        <v>78</v>
      </c>
      <c r="E253" s="246">
        <v>0.05</v>
      </c>
      <c r="F253" s="246">
        <v>0.05</v>
      </c>
      <c r="G253" s="246">
        <v>0.05</v>
      </c>
      <c r="H253" s="246">
        <v>0.05</v>
      </c>
      <c r="I253" s="45"/>
      <c r="J253" s="246">
        <v>0.05</v>
      </c>
      <c r="K253" s="246">
        <v>0.05</v>
      </c>
      <c r="L253" s="246">
        <v>0.05</v>
      </c>
      <c r="M253" s="246">
        <v>0.05</v>
      </c>
      <c r="N253" s="246">
        <v>0.05</v>
      </c>
      <c r="O253" s="45"/>
      <c r="P253" s="246">
        <v>0.05</v>
      </c>
      <c r="Q253" s="246">
        <v>0.05</v>
      </c>
      <c r="R253" s="246">
        <v>0.05</v>
      </c>
      <c r="S253" s="246">
        <v>0.05</v>
      </c>
      <c r="T253" s="246">
        <v>0.05</v>
      </c>
      <c r="U253" s="45"/>
      <c r="V253" s="246">
        <v>0.05</v>
      </c>
      <c r="W253" s="246">
        <v>0.05</v>
      </c>
      <c r="X253" s="246">
        <v>0.05</v>
      </c>
      <c r="Y253" s="246">
        <v>0.05</v>
      </c>
      <c r="Z253" s="246">
        <v>0.05</v>
      </c>
      <c r="AA253" s="45"/>
      <c r="AB253" s="246">
        <v>0.05</v>
      </c>
      <c r="AC253" s="246">
        <v>0.05</v>
      </c>
      <c r="AD253" s="246">
        <v>0.05</v>
      </c>
      <c r="AE253" s="246">
        <v>0.05</v>
      </c>
      <c r="AF253" s="246">
        <v>0.05</v>
      </c>
      <c r="AG253" s="45"/>
      <c r="AH253" s="246">
        <v>0.05</v>
      </c>
    </row>
    <row r="254" spans="1:34" ht="23.4" customHeight="1" x14ac:dyDescent="0.2">
      <c r="A254" s="265"/>
      <c r="B254" s="284"/>
      <c r="C254" s="284"/>
      <c r="D254" s="273"/>
      <c r="E254" s="247"/>
      <c r="F254" s="247"/>
      <c r="G254" s="247"/>
      <c r="H254" s="247"/>
      <c r="I254" s="45"/>
      <c r="J254" s="247"/>
      <c r="K254" s="247"/>
      <c r="L254" s="247"/>
      <c r="M254" s="247"/>
      <c r="N254" s="247"/>
      <c r="O254" s="45"/>
      <c r="P254" s="247"/>
      <c r="Q254" s="247"/>
      <c r="R254" s="247"/>
      <c r="S254" s="247"/>
      <c r="T254" s="247"/>
      <c r="U254" s="45"/>
      <c r="V254" s="247"/>
      <c r="W254" s="247"/>
      <c r="X254" s="247"/>
      <c r="Y254" s="247"/>
      <c r="Z254" s="247"/>
      <c r="AA254" s="45"/>
      <c r="AB254" s="247"/>
      <c r="AC254" s="247"/>
      <c r="AD254" s="247"/>
      <c r="AE254" s="247"/>
      <c r="AF254" s="247"/>
      <c r="AG254" s="45"/>
      <c r="AH254" s="247"/>
    </row>
    <row r="256" spans="1:34" x14ac:dyDescent="0.2">
      <c r="A256" s="9"/>
      <c r="B256" s="10"/>
      <c r="C256" s="10"/>
      <c r="D256" s="9"/>
    </row>
  </sheetData>
  <mergeCells count="2882">
    <mergeCell ref="D17:D18"/>
    <mergeCell ref="D37:D38"/>
    <mergeCell ref="B89:B94"/>
    <mergeCell ref="B77:C77"/>
    <mergeCell ref="B78:C79"/>
    <mergeCell ref="B74:C75"/>
    <mergeCell ref="D61:D62"/>
    <mergeCell ref="B65:C66"/>
    <mergeCell ref="B14:AH14"/>
    <mergeCell ref="B58:AH58"/>
    <mergeCell ref="B39:AH39"/>
    <mergeCell ref="B73:AH73"/>
    <mergeCell ref="D23:D24"/>
    <mergeCell ref="D21:D22"/>
    <mergeCell ref="D29:D30"/>
    <mergeCell ref="D27:D28"/>
    <mergeCell ref="D25:D26"/>
    <mergeCell ref="D19:D20"/>
    <mergeCell ref="D78:D79"/>
    <mergeCell ref="D83:D84"/>
    <mergeCell ref="D85:D86"/>
    <mergeCell ref="J104:J105"/>
    <mergeCell ref="J106:J107"/>
    <mergeCell ref="P96:P97"/>
    <mergeCell ref="P98:P99"/>
    <mergeCell ref="P100:P101"/>
    <mergeCell ref="P102:P103"/>
    <mergeCell ref="P104:P105"/>
    <mergeCell ref="C148:C149"/>
    <mergeCell ref="B152:AH152"/>
    <mergeCell ref="C153:C154"/>
    <mergeCell ref="C165:C166"/>
    <mergeCell ref="B143:B145"/>
    <mergeCell ref="B146:B151"/>
    <mergeCell ref="B153:B158"/>
    <mergeCell ref="C150:C151"/>
    <mergeCell ref="AB110:AB111"/>
    <mergeCell ref="E222:H222"/>
    <mergeCell ref="AC222:AF222"/>
    <mergeCell ref="B210:C211"/>
    <mergeCell ref="AH96:AH97"/>
    <mergeCell ref="AH98:AH99"/>
    <mergeCell ref="AH100:AH101"/>
    <mergeCell ref="AH102:AH103"/>
    <mergeCell ref="AH104:AH105"/>
    <mergeCell ref="AH106:AH107"/>
    <mergeCell ref="AB96:AB97"/>
    <mergeCell ref="B189:AH189"/>
    <mergeCell ref="AH83:AH84"/>
    <mergeCell ref="AH85:AH86"/>
    <mergeCell ref="AH87:AH88"/>
    <mergeCell ref="AH89:AH90"/>
    <mergeCell ref="AH91:AH92"/>
    <mergeCell ref="AH93:AH94"/>
    <mergeCell ref="AB83:AB84"/>
    <mergeCell ref="AB85:AB86"/>
    <mergeCell ref="AB87:AB88"/>
    <mergeCell ref="AB89:AB90"/>
    <mergeCell ref="AB91:AB92"/>
    <mergeCell ref="AB93:AB94"/>
    <mergeCell ref="AC83:AC84"/>
    <mergeCell ref="AD83:AD84"/>
    <mergeCell ref="AE83:AE84"/>
    <mergeCell ref="P91:P92"/>
    <mergeCell ref="P93:P9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J83:J84"/>
    <mergeCell ref="V83:V84"/>
    <mergeCell ref="V85:V86"/>
    <mergeCell ref="V87:V88"/>
    <mergeCell ref="V89:V90"/>
    <mergeCell ref="V91:V92"/>
    <mergeCell ref="V93:V94"/>
    <mergeCell ref="K83:K84"/>
    <mergeCell ref="V78:V79"/>
    <mergeCell ref="AB78:AB79"/>
    <mergeCell ref="AH78:AH79"/>
    <mergeCell ref="J89:J90"/>
    <mergeCell ref="J91:J92"/>
    <mergeCell ref="J93:J94"/>
    <mergeCell ref="P83:P84"/>
    <mergeCell ref="P85:P86"/>
    <mergeCell ref="P87:P88"/>
    <mergeCell ref="P89:P90"/>
    <mergeCell ref="AE78:AE79"/>
    <mergeCell ref="AF78:AF79"/>
    <mergeCell ref="AG78:AG79"/>
    <mergeCell ref="T89:T90"/>
    <mergeCell ref="Q91:Q92"/>
    <mergeCell ref="R91:R92"/>
    <mergeCell ref="S91:S92"/>
    <mergeCell ref="T91:T92"/>
    <mergeCell ref="Q93:Q94"/>
    <mergeCell ref="R93:R94"/>
    <mergeCell ref="S93:S94"/>
    <mergeCell ref="T93:T94"/>
    <mergeCell ref="W83:W84"/>
    <mergeCell ref="X83:X84"/>
    <mergeCell ref="AB71:AB72"/>
    <mergeCell ref="AH71:AH72"/>
    <mergeCell ref="V65:V66"/>
    <mergeCell ref="V67:V68"/>
    <mergeCell ref="V69:V70"/>
    <mergeCell ref="V74:V75"/>
    <mergeCell ref="AB74:AB75"/>
    <mergeCell ref="AH74:AH75"/>
    <mergeCell ref="V71:V72"/>
    <mergeCell ref="Z65:Z66"/>
    <mergeCell ref="V61:V62"/>
    <mergeCell ref="AB61:AB62"/>
    <mergeCell ref="AH61:AH62"/>
    <mergeCell ref="V63:V64"/>
    <mergeCell ref="AB63:AB64"/>
    <mergeCell ref="AH63:AH64"/>
    <mergeCell ref="AE63:AE64"/>
    <mergeCell ref="AF63:AF64"/>
    <mergeCell ref="W71:W72"/>
    <mergeCell ref="X71:X72"/>
    <mergeCell ref="Y71:Y72"/>
    <mergeCell ref="Z71:Z72"/>
    <mergeCell ref="AC69:AC70"/>
    <mergeCell ref="AD69:AD70"/>
    <mergeCell ref="AE69:AE70"/>
    <mergeCell ref="AF69:AF70"/>
    <mergeCell ref="AC71:AC72"/>
    <mergeCell ref="AD71:AD72"/>
    <mergeCell ref="AE71:AE72"/>
    <mergeCell ref="AF71:AF72"/>
    <mergeCell ref="AE74:AE75"/>
    <mergeCell ref="AF74:AF75"/>
    <mergeCell ref="AH52:AH53"/>
    <mergeCell ref="AH54:AH55"/>
    <mergeCell ref="AH56:AH57"/>
    <mergeCell ref="AB65:AB66"/>
    <mergeCell ref="AB67:AB68"/>
    <mergeCell ref="AB69:AB70"/>
    <mergeCell ref="AH59:AH60"/>
    <mergeCell ref="AH65:AH66"/>
    <mergeCell ref="AH67:AH68"/>
    <mergeCell ref="AH69:AH70"/>
    <mergeCell ref="AH40:AH41"/>
    <mergeCell ref="AH42:AH43"/>
    <mergeCell ref="AH44:AH45"/>
    <mergeCell ref="AH46:AH47"/>
    <mergeCell ref="AH48:AH49"/>
    <mergeCell ref="AH50:AH51"/>
    <mergeCell ref="AH27:AH28"/>
    <mergeCell ref="AH29:AH30"/>
    <mergeCell ref="AH31:AH32"/>
    <mergeCell ref="AH33:AH34"/>
    <mergeCell ref="AH35:AH36"/>
    <mergeCell ref="AH37:AH38"/>
    <mergeCell ref="AB52:AB53"/>
    <mergeCell ref="AB54:AB55"/>
    <mergeCell ref="AB56:AB57"/>
    <mergeCell ref="AB59:AB60"/>
    <mergeCell ref="AG27:AG28"/>
    <mergeCell ref="AG35:AG36"/>
    <mergeCell ref="AE40:AE41"/>
    <mergeCell ref="AF40:AF41"/>
    <mergeCell ref="AE42:AE43"/>
    <mergeCell ref="AF42:AF43"/>
    <mergeCell ref="AH15:AH16"/>
    <mergeCell ref="AH17:AH18"/>
    <mergeCell ref="AH19:AH20"/>
    <mergeCell ref="AH21:AH22"/>
    <mergeCell ref="AH23:AH24"/>
    <mergeCell ref="AH25:AH26"/>
    <mergeCell ref="AB40:AB41"/>
    <mergeCell ref="AB42:AB43"/>
    <mergeCell ref="AB44:AB45"/>
    <mergeCell ref="AB46:AB47"/>
    <mergeCell ref="AB48:AB49"/>
    <mergeCell ref="AB50:AB51"/>
    <mergeCell ref="V59:V60"/>
    <mergeCell ref="AB15:AB16"/>
    <mergeCell ref="AB17:AB18"/>
    <mergeCell ref="AB19:AB20"/>
    <mergeCell ref="AB21:AB22"/>
    <mergeCell ref="AB23:AB24"/>
    <mergeCell ref="AB25:AB26"/>
    <mergeCell ref="AB27:AB28"/>
    <mergeCell ref="AB29:AB30"/>
    <mergeCell ref="AB31:AB32"/>
    <mergeCell ref="W15:W16"/>
    <mergeCell ref="X15:X16"/>
    <mergeCell ref="Y15:Y16"/>
    <mergeCell ref="Z15:Z16"/>
    <mergeCell ref="AA15:AA16"/>
    <mergeCell ref="AC15:AC16"/>
    <mergeCell ref="AD15:AD16"/>
    <mergeCell ref="AE15:AE16"/>
    <mergeCell ref="AF15:AF16"/>
    <mergeCell ref="AG15:AG16"/>
    <mergeCell ref="V48:V49"/>
    <mergeCell ref="V50:V51"/>
    <mergeCell ref="V52:V53"/>
    <mergeCell ref="V54:V55"/>
    <mergeCell ref="V56:V57"/>
    <mergeCell ref="P54:P55"/>
    <mergeCell ref="K10:P10"/>
    <mergeCell ref="P15:P16"/>
    <mergeCell ref="O15:O16"/>
    <mergeCell ref="O17:O18"/>
    <mergeCell ref="O19:O20"/>
    <mergeCell ref="O21:O22"/>
    <mergeCell ref="K11:O11"/>
    <mergeCell ref="M15:M16"/>
    <mergeCell ref="N15:N16"/>
    <mergeCell ref="P46:P47"/>
    <mergeCell ref="P48:P49"/>
    <mergeCell ref="P50:P51"/>
    <mergeCell ref="P42:P43"/>
    <mergeCell ref="P40:P41"/>
    <mergeCell ref="P52:P53"/>
    <mergeCell ref="P17:P18"/>
    <mergeCell ref="P19:P20"/>
    <mergeCell ref="O29:O30"/>
    <mergeCell ref="O31:O32"/>
    <mergeCell ref="P21:P22"/>
    <mergeCell ref="P23:P24"/>
    <mergeCell ref="P27:P28"/>
    <mergeCell ref="P25:P26"/>
    <mergeCell ref="P29:P30"/>
    <mergeCell ref="V46:V47"/>
    <mergeCell ref="A15:A38"/>
    <mergeCell ref="B33:B38"/>
    <mergeCell ref="C33:C34"/>
    <mergeCell ref="I59:I60"/>
    <mergeCell ref="B27:B32"/>
    <mergeCell ref="A59:A72"/>
    <mergeCell ref="B71:C72"/>
    <mergeCell ref="D67:D68"/>
    <mergeCell ref="D65:D66"/>
    <mergeCell ref="D15:D16"/>
    <mergeCell ref="J69:J70"/>
    <mergeCell ref="J96:J97"/>
    <mergeCell ref="C141:C142"/>
    <mergeCell ref="B109:C109"/>
    <mergeCell ref="B112:B117"/>
    <mergeCell ref="B110:C111"/>
    <mergeCell ref="C122:C123"/>
    <mergeCell ref="C118:C119"/>
    <mergeCell ref="D74:D75"/>
    <mergeCell ref="D69:D70"/>
    <mergeCell ref="C127:C128"/>
    <mergeCell ref="B125:B130"/>
    <mergeCell ref="C120:C121"/>
    <mergeCell ref="C135:C136"/>
    <mergeCell ref="C137:C138"/>
    <mergeCell ref="B118:B123"/>
    <mergeCell ref="B131:B136"/>
    <mergeCell ref="C129:C130"/>
    <mergeCell ref="C125:C126"/>
    <mergeCell ref="C114:C115"/>
    <mergeCell ref="C89:C90"/>
    <mergeCell ref="B76:C76"/>
    <mergeCell ref="P44:P45"/>
    <mergeCell ref="V42:V43"/>
    <mergeCell ref="V44:V45"/>
    <mergeCell ref="D44:D45"/>
    <mergeCell ref="I46:I47"/>
    <mergeCell ref="P56:P57"/>
    <mergeCell ref="V35:V36"/>
    <mergeCell ref="V37:V38"/>
    <mergeCell ref="V40:V41"/>
    <mergeCell ref="V33:V34"/>
    <mergeCell ref="T31:T32"/>
    <mergeCell ref="U31:U32"/>
    <mergeCell ref="U33:U34"/>
    <mergeCell ref="U35:U36"/>
    <mergeCell ref="A2:J2"/>
    <mergeCell ref="A3:J3"/>
    <mergeCell ref="C23:C24"/>
    <mergeCell ref="C21:C22"/>
    <mergeCell ref="B40:B45"/>
    <mergeCell ref="C17:C18"/>
    <mergeCell ref="C29:C30"/>
    <mergeCell ref="B21:B26"/>
    <mergeCell ref="C27:C28"/>
    <mergeCell ref="C19:C20"/>
    <mergeCell ref="A4:C4"/>
    <mergeCell ref="A40:A57"/>
    <mergeCell ref="B46:B51"/>
    <mergeCell ref="C46:C47"/>
    <mergeCell ref="C44:C45"/>
    <mergeCell ref="B10:B12"/>
    <mergeCell ref="B15:B20"/>
    <mergeCell ref="C25:C26"/>
    <mergeCell ref="C35:C36"/>
    <mergeCell ref="C37:C38"/>
    <mergeCell ref="V31:V32"/>
    <mergeCell ref="C42:C43"/>
    <mergeCell ref="B177:B182"/>
    <mergeCell ref="C183:C184"/>
    <mergeCell ref="C112:C113"/>
    <mergeCell ref="C116:C117"/>
    <mergeCell ref="C181:C182"/>
    <mergeCell ref="B171:B176"/>
    <mergeCell ref="B165:B170"/>
    <mergeCell ref="B159:B164"/>
    <mergeCell ref="D198:D199"/>
    <mergeCell ref="C177:C178"/>
    <mergeCell ref="B183:B188"/>
    <mergeCell ref="C146:C147"/>
    <mergeCell ref="C133:C134"/>
    <mergeCell ref="C185:C186"/>
    <mergeCell ref="B137:B142"/>
    <mergeCell ref="C139:C140"/>
    <mergeCell ref="C169:C170"/>
    <mergeCell ref="C157:C158"/>
    <mergeCell ref="B61:C62"/>
    <mergeCell ref="C54:C55"/>
    <mergeCell ref="C56:C57"/>
    <mergeCell ref="C48:C49"/>
    <mergeCell ref="C52:C53"/>
    <mergeCell ref="P71:P72"/>
    <mergeCell ref="J122:J123"/>
    <mergeCell ref="P110:P111"/>
    <mergeCell ref="V110:V111"/>
    <mergeCell ref="V118:V119"/>
    <mergeCell ref="C187:C188"/>
    <mergeCell ref="A125:A151"/>
    <mergeCell ref="C163:C164"/>
    <mergeCell ref="A153:A188"/>
    <mergeCell ref="A213:A218"/>
    <mergeCell ref="C155:C156"/>
    <mergeCell ref="A190:A193"/>
    <mergeCell ref="J153:J154"/>
    <mergeCell ref="J167:J168"/>
    <mergeCell ref="J135:J136"/>
    <mergeCell ref="J169:J170"/>
    <mergeCell ref="J171:J172"/>
    <mergeCell ref="J173:J174"/>
    <mergeCell ref="V146:V147"/>
    <mergeCell ref="V148:V149"/>
    <mergeCell ref="V150:V151"/>
    <mergeCell ref="AB127:AB128"/>
    <mergeCell ref="AB129:AB130"/>
    <mergeCell ref="AB131:AB132"/>
    <mergeCell ref="B194:AH194"/>
    <mergeCell ref="B234:C235"/>
    <mergeCell ref="C202:C203"/>
    <mergeCell ref="B230:C231"/>
    <mergeCell ref="B228:C229"/>
    <mergeCell ref="B226:C227"/>
    <mergeCell ref="A74:A79"/>
    <mergeCell ref="I56:I57"/>
    <mergeCell ref="J59:J60"/>
    <mergeCell ref="I61:I62"/>
    <mergeCell ref="I40:I41"/>
    <mergeCell ref="C10:C12"/>
    <mergeCell ref="C40:C41"/>
    <mergeCell ref="C31:C32"/>
    <mergeCell ref="C15:C16"/>
    <mergeCell ref="B69:C70"/>
    <mergeCell ref="J61:J62"/>
    <mergeCell ref="J63:J64"/>
    <mergeCell ref="J65:J66"/>
    <mergeCell ref="J33:J34"/>
    <mergeCell ref="J42:J43"/>
    <mergeCell ref="I48:I49"/>
    <mergeCell ref="I50:I51"/>
    <mergeCell ref="D40:D41"/>
    <mergeCell ref="D52:D53"/>
    <mergeCell ref="D46:D47"/>
    <mergeCell ref="D48:D49"/>
    <mergeCell ref="D71:D72"/>
    <mergeCell ref="D54:D55"/>
    <mergeCell ref="D59:D60"/>
    <mergeCell ref="D63:D64"/>
    <mergeCell ref="D42:D43"/>
    <mergeCell ref="D56:D57"/>
    <mergeCell ref="Q10:V10"/>
    <mergeCell ref="V15:V16"/>
    <mergeCell ref="V17:V18"/>
    <mergeCell ref="V19:V20"/>
    <mergeCell ref="V21:V22"/>
    <mergeCell ref="V23:V24"/>
    <mergeCell ref="C83:C84"/>
    <mergeCell ref="B83:B88"/>
    <mergeCell ref="C96:C97"/>
    <mergeCell ref="B59:C60"/>
    <mergeCell ref="P61:P62"/>
    <mergeCell ref="P63:P64"/>
    <mergeCell ref="P65:P66"/>
    <mergeCell ref="P67:P68"/>
    <mergeCell ref="P69:P70"/>
    <mergeCell ref="J78:J79"/>
    <mergeCell ref="J35:J36"/>
    <mergeCell ref="J37:J38"/>
    <mergeCell ref="J54:J55"/>
    <mergeCell ref="I35:I36"/>
    <mergeCell ref="J46:J47"/>
    <mergeCell ref="J48:J49"/>
    <mergeCell ref="J50:J51"/>
    <mergeCell ref="I52:I53"/>
    <mergeCell ref="I42:I43"/>
    <mergeCell ref="I44:I45"/>
    <mergeCell ref="I54:I55"/>
    <mergeCell ref="D50:D51"/>
    <mergeCell ref="J25:J26"/>
    <mergeCell ref="J27:J28"/>
    <mergeCell ref="J29:J30"/>
    <mergeCell ref="J31:J32"/>
    <mergeCell ref="J17:J18"/>
    <mergeCell ref="J19:J20"/>
    <mergeCell ref="J21:J22"/>
    <mergeCell ref="J23:J24"/>
    <mergeCell ref="I33:I34"/>
    <mergeCell ref="I23:I24"/>
    <mergeCell ref="I25:I26"/>
    <mergeCell ref="I27:I28"/>
    <mergeCell ref="I29:I30"/>
    <mergeCell ref="I31:I32"/>
    <mergeCell ref="B102:B107"/>
    <mergeCell ref="C102:C103"/>
    <mergeCell ref="C104:C105"/>
    <mergeCell ref="C106:C107"/>
    <mergeCell ref="A82:A107"/>
    <mergeCell ref="B63:C64"/>
    <mergeCell ref="B67:C68"/>
    <mergeCell ref="C50:C51"/>
    <mergeCell ref="B52:B57"/>
    <mergeCell ref="C87:C88"/>
    <mergeCell ref="J67:J68"/>
    <mergeCell ref="J52:J53"/>
    <mergeCell ref="J56:J57"/>
    <mergeCell ref="J44:J45"/>
    <mergeCell ref="E17:E18"/>
    <mergeCell ref="F17:F18"/>
    <mergeCell ref="G17:G18"/>
    <mergeCell ref="H17:H18"/>
    <mergeCell ref="E21:E22"/>
    <mergeCell ref="F21:F22"/>
    <mergeCell ref="G21:G22"/>
    <mergeCell ref="H21:H22"/>
    <mergeCell ref="A109:A123"/>
    <mergeCell ref="C131:C132"/>
    <mergeCell ref="C222:C223"/>
    <mergeCell ref="C179:C180"/>
    <mergeCell ref="C173:C174"/>
    <mergeCell ref="C175:C176"/>
    <mergeCell ref="C171:C172"/>
    <mergeCell ref="A222:A223"/>
    <mergeCell ref="B222:B223"/>
    <mergeCell ref="B232:C233"/>
    <mergeCell ref="B96:B101"/>
    <mergeCell ref="C98:C99"/>
    <mergeCell ref="C100:C101"/>
    <mergeCell ref="C91:C92"/>
    <mergeCell ref="C93:C94"/>
    <mergeCell ref="C167:C168"/>
    <mergeCell ref="C159:C160"/>
    <mergeCell ref="C161:C162"/>
    <mergeCell ref="B215:C216"/>
    <mergeCell ref="B208:C209"/>
    <mergeCell ref="C206:C207"/>
    <mergeCell ref="C204:C205"/>
    <mergeCell ref="B196:C197"/>
    <mergeCell ref="B190:C191"/>
    <mergeCell ref="B200:C201"/>
    <mergeCell ref="B202:B207"/>
    <mergeCell ref="B198:C199"/>
    <mergeCell ref="B192:C193"/>
    <mergeCell ref="B195:AH195"/>
    <mergeCell ref="B217:C218"/>
    <mergeCell ref="B213:C214"/>
    <mergeCell ref="A196:A211"/>
    <mergeCell ref="A237:A254"/>
    <mergeCell ref="B237:B242"/>
    <mergeCell ref="C241:C242"/>
    <mergeCell ref="C243:C244"/>
    <mergeCell ref="C245:C246"/>
    <mergeCell ref="C253:C254"/>
    <mergeCell ref="B249:B254"/>
    <mergeCell ref="C249:C250"/>
    <mergeCell ref="B243:B248"/>
    <mergeCell ref="C247:C248"/>
    <mergeCell ref="C251:C252"/>
    <mergeCell ref="I21:I22"/>
    <mergeCell ref="A226:A235"/>
    <mergeCell ref="I19:I20"/>
    <mergeCell ref="AC10:AG10"/>
    <mergeCell ref="AC11:AG11"/>
    <mergeCell ref="D31:D32"/>
    <mergeCell ref="D33:D34"/>
    <mergeCell ref="D35:D36"/>
    <mergeCell ref="Q11:U11"/>
    <mergeCell ref="C239:C240"/>
    <mergeCell ref="W10:AA10"/>
    <mergeCell ref="W11:AA11"/>
    <mergeCell ref="Y222:Z222"/>
    <mergeCell ref="E11:J11"/>
    <mergeCell ref="I15:I16"/>
    <mergeCell ref="I17:I18"/>
    <mergeCell ref="E10:I10"/>
    <mergeCell ref="M222:N222"/>
    <mergeCell ref="C85:C86"/>
    <mergeCell ref="J40:J41"/>
    <mergeCell ref="J110:J111"/>
    <mergeCell ref="V120:V121"/>
    <mergeCell ref="V122:V123"/>
    <mergeCell ref="P127:P128"/>
    <mergeCell ref="P74:P75"/>
    <mergeCell ref="P78:P79"/>
    <mergeCell ref="J71:J72"/>
    <mergeCell ref="J74:J75"/>
    <mergeCell ref="J85:J86"/>
    <mergeCell ref="J87:J88"/>
    <mergeCell ref="K71:K72"/>
    <mergeCell ref="L71:L72"/>
    <mergeCell ref="M71:M72"/>
    <mergeCell ref="N71:N72"/>
    <mergeCell ref="AH110:AH111"/>
    <mergeCell ref="J112:J113"/>
    <mergeCell ref="J114:J115"/>
    <mergeCell ref="J116:J117"/>
    <mergeCell ref="J118:J119"/>
    <mergeCell ref="J120:J121"/>
    <mergeCell ref="V112:V113"/>
    <mergeCell ref="V114:V115"/>
    <mergeCell ref="V116:V117"/>
    <mergeCell ref="AB112:AB113"/>
    <mergeCell ref="P118:P119"/>
    <mergeCell ref="P120:P121"/>
    <mergeCell ref="P122:P123"/>
    <mergeCell ref="V127:V128"/>
    <mergeCell ref="B124:AH124"/>
    <mergeCell ref="AH118:AH119"/>
    <mergeCell ref="AH120:AH121"/>
    <mergeCell ref="AH122:AH123"/>
    <mergeCell ref="AB118:AB119"/>
    <mergeCell ref="J137:J138"/>
    <mergeCell ref="J127:J128"/>
    <mergeCell ref="J129:J130"/>
    <mergeCell ref="J131:J132"/>
    <mergeCell ref="J133:J134"/>
    <mergeCell ref="P141:P142"/>
    <mergeCell ref="P146:P147"/>
    <mergeCell ref="P148:P149"/>
    <mergeCell ref="P150:P151"/>
    <mergeCell ref="J139:J140"/>
    <mergeCell ref="J141:J142"/>
    <mergeCell ref="J146:J147"/>
    <mergeCell ref="J148:J149"/>
    <mergeCell ref="J150:J151"/>
    <mergeCell ref="K141:K142"/>
    <mergeCell ref="V131:V132"/>
    <mergeCell ref="V133:V134"/>
    <mergeCell ref="V135:V136"/>
    <mergeCell ref="V137:V138"/>
    <mergeCell ref="V139:V140"/>
    <mergeCell ref="P137:P138"/>
    <mergeCell ref="P139:P140"/>
    <mergeCell ref="T133:T134"/>
    <mergeCell ref="R135:R136"/>
    <mergeCell ref="S135:S136"/>
    <mergeCell ref="V141:V142"/>
    <mergeCell ref="AB133:AB134"/>
    <mergeCell ref="AB135:AB136"/>
    <mergeCell ref="V129:V130"/>
    <mergeCell ref="AB153:AB154"/>
    <mergeCell ref="AH127:AH128"/>
    <mergeCell ref="AH129:AH130"/>
    <mergeCell ref="AH131:AH132"/>
    <mergeCell ref="AH133:AH134"/>
    <mergeCell ref="AH135:AH136"/>
    <mergeCell ref="AH137:AH138"/>
    <mergeCell ref="AB137:AB138"/>
    <mergeCell ref="AB139:AB140"/>
    <mergeCell ref="AH153:AH154"/>
    <mergeCell ref="AH139:AH140"/>
    <mergeCell ref="AH141:AH142"/>
    <mergeCell ref="AH146:AH147"/>
    <mergeCell ref="AH148:AH149"/>
    <mergeCell ref="AH150:AH151"/>
    <mergeCell ref="AB141:AB142"/>
    <mergeCell ref="AB146:AB147"/>
    <mergeCell ref="AB148:AB149"/>
    <mergeCell ref="AB150:AB151"/>
    <mergeCell ref="AC139:AC140"/>
    <mergeCell ref="Z141:Z142"/>
    <mergeCell ref="AC127:AC128"/>
    <mergeCell ref="AD127:AD128"/>
    <mergeCell ref="AE127:AE128"/>
    <mergeCell ref="AF127:AF128"/>
    <mergeCell ref="AC129:AC130"/>
    <mergeCell ref="AD129:AD130"/>
    <mergeCell ref="AE129:AE130"/>
    <mergeCell ref="AF129:AF130"/>
    <mergeCell ref="AH155:AH156"/>
    <mergeCell ref="AH157:AH158"/>
    <mergeCell ref="J159:J160"/>
    <mergeCell ref="AB159:AB160"/>
    <mergeCell ref="J155:J156"/>
    <mergeCell ref="J157:J158"/>
    <mergeCell ref="AH159:AH160"/>
    <mergeCell ref="V155:V156"/>
    <mergeCell ref="V157:V158"/>
    <mergeCell ref="M155:M156"/>
    <mergeCell ref="P153:P154"/>
    <mergeCell ref="P155:P156"/>
    <mergeCell ref="P157:P158"/>
    <mergeCell ref="V161:V162"/>
    <mergeCell ref="V163:V164"/>
    <mergeCell ref="AB155:AB156"/>
    <mergeCell ref="AB157:AB158"/>
    <mergeCell ref="AB161:AB162"/>
    <mergeCell ref="AB163:AB164"/>
    <mergeCell ref="V153:V154"/>
    <mergeCell ref="AH161:AH162"/>
    <mergeCell ref="AH163:AH164"/>
    <mergeCell ref="Q159:Q160"/>
    <mergeCell ref="R159:R160"/>
    <mergeCell ref="Q163:Q164"/>
    <mergeCell ref="R163:R164"/>
    <mergeCell ref="Q155:Q156"/>
    <mergeCell ref="R155:R156"/>
    <mergeCell ref="S155:S156"/>
    <mergeCell ref="T155:T156"/>
    <mergeCell ref="Q157:Q158"/>
    <mergeCell ref="R157:R158"/>
    <mergeCell ref="J165:J166"/>
    <mergeCell ref="J161:J162"/>
    <mergeCell ref="J163:J164"/>
    <mergeCell ref="P159:P160"/>
    <mergeCell ref="P161:P162"/>
    <mergeCell ref="P163:P164"/>
    <mergeCell ref="V159:V160"/>
    <mergeCell ref="V165:V166"/>
    <mergeCell ref="J175:J176"/>
    <mergeCell ref="J177:J178"/>
    <mergeCell ref="J179:J180"/>
    <mergeCell ref="P165:P166"/>
    <mergeCell ref="P167:P168"/>
    <mergeCell ref="P169:P170"/>
    <mergeCell ref="P171:P172"/>
    <mergeCell ref="P173:P174"/>
    <mergeCell ref="P175:P176"/>
    <mergeCell ref="K165:K166"/>
    <mergeCell ref="K167:K168"/>
    <mergeCell ref="L167:L168"/>
    <mergeCell ref="M167:M168"/>
    <mergeCell ref="N167:N168"/>
    <mergeCell ref="K169:K170"/>
    <mergeCell ref="L169:L170"/>
    <mergeCell ref="M169:M170"/>
    <mergeCell ref="N169:N170"/>
    <mergeCell ref="K171:K172"/>
    <mergeCell ref="L171:L172"/>
    <mergeCell ref="M171:M172"/>
    <mergeCell ref="N171:N172"/>
    <mergeCell ref="K173:K174"/>
    <mergeCell ref="L173:L174"/>
    <mergeCell ref="P185:P186"/>
    <mergeCell ref="P187:P188"/>
    <mergeCell ref="J181:J182"/>
    <mergeCell ref="J183:J184"/>
    <mergeCell ref="J185:J186"/>
    <mergeCell ref="J187:J188"/>
    <mergeCell ref="K181:K182"/>
    <mergeCell ref="L181:L182"/>
    <mergeCell ref="M181:M182"/>
    <mergeCell ref="N181:N182"/>
    <mergeCell ref="V175:V176"/>
    <mergeCell ref="V177:V178"/>
    <mergeCell ref="P177:P178"/>
    <mergeCell ref="P179:P180"/>
    <mergeCell ref="P181:P182"/>
    <mergeCell ref="P183:P184"/>
    <mergeCell ref="Q175:Q176"/>
    <mergeCell ref="R175:R176"/>
    <mergeCell ref="S175:S176"/>
    <mergeCell ref="T175:T176"/>
    <mergeCell ref="Q181:Q182"/>
    <mergeCell ref="R181:R182"/>
    <mergeCell ref="S181:S182"/>
    <mergeCell ref="T181:T182"/>
    <mergeCell ref="Q185:Q186"/>
    <mergeCell ref="R185:R186"/>
    <mergeCell ref="S185:S186"/>
    <mergeCell ref="T185:T186"/>
    <mergeCell ref="Q187:Q188"/>
    <mergeCell ref="R187:R188"/>
    <mergeCell ref="S187:S188"/>
    <mergeCell ref="T187:T188"/>
    <mergeCell ref="AB165:AB166"/>
    <mergeCell ref="AB167:AB168"/>
    <mergeCell ref="AB169:AB170"/>
    <mergeCell ref="AB171:AB172"/>
    <mergeCell ref="AB173:AB174"/>
    <mergeCell ref="V167:V168"/>
    <mergeCell ref="V169:V170"/>
    <mergeCell ref="V171:V172"/>
    <mergeCell ref="V173:V174"/>
    <mergeCell ref="W165:W166"/>
    <mergeCell ref="AB185:AB186"/>
    <mergeCell ref="V179:V180"/>
    <mergeCell ref="V181:V182"/>
    <mergeCell ref="V183:V184"/>
    <mergeCell ref="V185:V186"/>
    <mergeCell ref="V187:V188"/>
    <mergeCell ref="W181:W182"/>
    <mergeCell ref="X181:X182"/>
    <mergeCell ref="Y181:Y182"/>
    <mergeCell ref="Z181:Z182"/>
    <mergeCell ref="X165:X166"/>
    <mergeCell ref="Y165:Y166"/>
    <mergeCell ref="Z165:Z166"/>
    <mergeCell ref="W167:W168"/>
    <mergeCell ref="X167:X168"/>
    <mergeCell ref="Y167:Y168"/>
    <mergeCell ref="Z167:Z168"/>
    <mergeCell ref="W169:W170"/>
    <mergeCell ref="X169:X170"/>
    <mergeCell ref="Y169:Y170"/>
    <mergeCell ref="Z169:Z170"/>
    <mergeCell ref="W171:W172"/>
    <mergeCell ref="AH181:AH182"/>
    <mergeCell ref="AB175:AB176"/>
    <mergeCell ref="AB177:AB178"/>
    <mergeCell ref="AB179:AB180"/>
    <mergeCell ref="AB181:AB182"/>
    <mergeCell ref="AB183:AB184"/>
    <mergeCell ref="AC177:AC178"/>
    <mergeCell ref="AD177:AD178"/>
    <mergeCell ref="AE177:AE178"/>
    <mergeCell ref="AF177:AF178"/>
    <mergeCell ref="AB190:AB191"/>
    <mergeCell ref="AB187:AB188"/>
    <mergeCell ref="AH165:AH166"/>
    <mergeCell ref="AH167:AH168"/>
    <mergeCell ref="AH169:AH170"/>
    <mergeCell ref="AH171:AH172"/>
    <mergeCell ref="AH173:AH174"/>
    <mergeCell ref="AH175:AH176"/>
    <mergeCell ref="AH177:AH178"/>
    <mergeCell ref="AH179:AH180"/>
    <mergeCell ref="AE167:AE168"/>
    <mergeCell ref="AF167:AF168"/>
    <mergeCell ref="AE169:AE170"/>
    <mergeCell ref="AF169:AF170"/>
    <mergeCell ref="AE171:AE172"/>
    <mergeCell ref="AF171:AF172"/>
    <mergeCell ref="AE173:AE174"/>
    <mergeCell ref="AF173:AF174"/>
    <mergeCell ref="AE175:AE176"/>
    <mergeCell ref="AF175:AF176"/>
    <mergeCell ref="AE179:AE180"/>
    <mergeCell ref="AF179:AF180"/>
    <mergeCell ref="J196:J197"/>
    <mergeCell ref="P196:P197"/>
    <mergeCell ref="V196:V197"/>
    <mergeCell ref="AB196:AB197"/>
    <mergeCell ref="AH196:AH197"/>
    <mergeCell ref="AH183:AH184"/>
    <mergeCell ref="AH185:AH186"/>
    <mergeCell ref="AH187:AH188"/>
    <mergeCell ref="J190:J191"/>
    <mergeCell ref="J192:J193"/>
    <mergeCell ref="P198:P199"/>
    <mergeCell ref="V198:V199"/>
    <mergeCell ref="AB198:AB199"/>
    <mergeCell ref="AB192:AB193"/>
    <mergeCell ref="AH190:AH191"/>
    <mergeCell ref="AH192:AH193"/>
    <mergeCell ref="P190:P191"/>
    <mergeCell ref="P192:P193"/>
    <mergeCell ref="V190:V191"/>
    <mergeCell ref="V192:V193"/>
    <mergeCell ref="K185:K186"/>
    <mergeCell ref="L185:L186"/>
    <mergeCell ref="M185:M186"/>
    <mergeCell ref="N185:N186"/>
    <mergeCell ref="K187:K188"/>
    <mergeCell ref="L187:L188"/>
    <mergeCell ref="M187:M188"/>
    <mergeCell ref="N187:N188"/>
    <mergeCell ref="Q183:Q184"/>
    <mergeCell ref="R183:R184"/>
    <mergeCell ref="S183:S184"/>
    <mergeCell ref="T183:T184"/>
    <mergeCell ref="J204:J205"/>
    <mergeCell ref="J206:J207"/>
    <mergeCell ref="AH198:AH199"/>
    <mergeCell ref="J200:J201"/>
    <mergeCell ref="P200:P201"/>
    <mergeCell ref="V200:V201"/>
    <mergeCell ref="AB200:AB201"/>
    <mergeCell ref="AH200:AH201"/>
    <mergeCell ref="J198:J199"/>
    <mergeCell ref="AH206:AH207"/>
    <mergeCell ref="P202:P203"/>
    <mergeCell ref="P204:P205"/>
    <mergeCell ref="P206:P207"/>
    <mergeCell ref="V202:V203"/>
    <mergeCell ref="V204:V205"/>
    <mergeCell ref="V206:V207"/>
    <mergeCell ref="Q204:Q205"/>
    <mergeCell ref="R204:R205"/>
    <mergeCell ref="S204:S205"/>
    <mergeCell ref="P210:P211"/>
    <mergeCell ref="V210:V211"/>
    <mergeCell ref="AB210:AB211"/>
    <mergeCell ref="AH210:AH211"/>
    <mergeCell ref="AB202:AB203"/>
    <mergeCell ref="AB204:AB205"/>
    <mergeCell ref="AB206:AB207"/>
    <mergeCell ref="AH202:AH203"/>
    <mergeCell ref="AH204:AH205"/>
    <mergeCell ref="P253:P254"/>
    <mergeCell ref="V251:V252"/>
    <mergeCell ref="V253:V254"/>
    <mergeCell ref="J217:J218"/>
    <mergeCell ref="P217:P218"/>
    <mergeCell ref="AH208:AH209"/>
    <mergeCell ref="J208:J209"/>
    <mergeCell ref="J210:J211"/>
    <mergeCell ref="P208:P209"/>
    <mergeCell ref="V208:V209"/>
    <mergeCell ref="AB213:AB214"/>
    <mergeCell ref="AH213:AH214"/>
    <mergeCell ref="J215:J216"/>
    <mergeCell ref="P215:P216"/>
    <mergeCell ref="V215:V216"/>
    <mergeCell ref="AB215:AB216"/>
    <mergeCell ref="AH215:AH216"/>
    <mergeCell ref="J213:J214"/>
    <mergeCell ref="P213:P214"/>
    <mergeCell ref="V213:V214"/>
    <mergeCell ref="AB217:AB218"/>
    <mergeCell ref="AH217:AH218"/>
    <mergeCell ref="J202:J203"/>
    <mergeCell ref="V245:V246"/>
    <mergeCell ref="V247:V248"/>
    <mergeCell ref="V249:V250"/>
    <mergeCell ref="AB237:AB238"/>
    <mergeCell ref="AH237:AH238"/>
    <mergeCell ref="AH245:AH246"/>
    <mergeCell ref="S222:T222"/>
    <mergeCell ref="Y5:Y6"/>
    <mergeCell ref="J237:J238"/>
    <mergeCell ref="J239:J240"/>
    <mergeCell ref="J241:J242"/>
    <mergeCell ref="J243:J244"/>
    <mergeCell ref="J245:J246"/>
    <mergeCell ref="V237:V238"/>
    <mergeCell ref="V239:V240"/>
    <mergeCell ref="V241:V242"/>
    <mergeCell ref="V243:V244"/>
    <mergeCell ref="AB245:AB246"/>
    <mergeCell ref="P237:P238"/>
    <mergeCell ref="P239:P240"/>
    <mergeCell ref="P241:P242"/>
    <mergeCell ref="P243:P244"/>
    <mergeCell ref="P245:P246"/>
    <mergeCell ref="Q237:Q238"/>
    <mergeCell ref="R237:R238"/>
    <mergeCell ref="S237:S238"/>
    <mergeCell ref="AH239:AH240"/>
    <mergeCell ref="AH241:AH242"/>
    <mergeCell ref="AH243:AH244"/>
    <mergeCell ref="J247:J248"/>
    <mergeCell ref="J249:J250"/>
    <mergeCell ref="AB208:AB209"/>
    <mergeCell ref="D87:D88"/>
    <mergeCell ref="D89:D90"/>
    <mergeCell ref="D91:D92"/>
    <mergeCell ref="D93:D94"/>
    <mergeCell ref="D96:D97"/>
    <mergeCell ref="D98:D99"/>
    <mergeCell ref="D100:D101"/>
    <mergeCell ref="D102:D103"/>
    <mergeCell ref="D104:D105"/>
    <mergeCell ref="D106:D107"/>
    <mergeCell ref="D110:D111"/>
    <mergeCell ref="D112:D113"/>
    <mergeCell ref="B108:AH108"/>
    <mergeCell ref="E110:E111"/>
    <mergeCell ref="F110:F111"/>
    <mergeCell ref="G110:G111"/>
    <mergeCell ref="D114:D115"/>
    <mergeCell ref="AB98:AB99"/>
    <mergeCell ref="AB100:AB101"/>
    <mergeCell ref="AB102:AB103"/>
    <mergeCell ref="AB104:AB105"/>
    <mergeCell ref="AB106:AB107"/>
    <mergeCell ref="P106:P107"/>
    <mergeCell ref="V96:V97"/>
    <mergeCell ref="V98:V99"/>
    <mergeCell ref="V100:V101"/>
    <mergeCell ref="V102:V103"/>
    <mergeCell ref="V104:V105"/>
    <mergeCell ref="V106:V107"/>
    <mergeCell ref="J98:J99"/>
    <mergeCell ref="J100:J101"/>
    <mergeCell ref="J102:J103"/>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215:D216"/>
    <mergeCell ref="D210:D211"/>
    <mergeCell ref="D196:D197"/>
    <mergeCell ref="D202:D203"/>
    <mergeCell ref="D204:D205"/>
    <mergeCell ref="D206:D207"/>
    <mergeCell ref="D208:D209"/>
    <mergeCell ref="B212:AH212"/>
    <mergeCell ref="D249:D250"/>
    <mergeCell ref="D251:D252"/>
    <mergeCell ref="D253:D254"/>
    <mergeCell ref="D237:D238"/>
    <mergeCell ref="D239:D240"/>
    <mergeCell ref="D241:D242"/>
    <mergeCell ref="D243:D244"/>
    <mergeCell ref="D245:D246"/>
    <mergeCell ref="D247:D248"/>
    <mergeCell ref="J251:J252"/>
    <mergeCell ref="AB251:AB252"/>
    <mergeCell ref="AB239:AB240"/>
    <mergeCell ref="AB241:AB242"/>
    <mergeCell ref="AB243:AB244"/>
    <mergeCell ref="AB253:AB254"/>
    <mergeCell ref="J253:J254"/>
    <mergeCell ref="AB247:AB248"/>
    <mergeCell ref="AB249:AB250"/>
    <mergeCell ref="AH247:AH248"/>
    <mergeCell ref="AH253:AH254"/>
    <mergeCell ref="P247:P248"/>
    <mergeCell ref="AH249:AH250"/>
    <mergeCell ref="AH251:AH252"/>
    <mergeCell ref="P251:P252"/>
    <mergeCell ref="AH116:AH117"/>
    <mergeCell ref="AH114:AH115"/>
    <mergeCell ref="AH112:AH113"/>
    <mergeCell ref="S114:S115"/>
    <mergeCell ref="T114:T115"/>
    <mergeCell ref="S116:S117"/>
    <mergeCell ref="T116:T117"/>
    <mergeCell ref="B236:AH236"/>
    <mergeCell ref="B80:AH80"/>
    <mergeCell ref="B81:AH81"/>
    <mergeCell ref="A7:K7"/>
    <mergeCell ref="A8:Y8"/>
    <mergeCell ref="A5:B5"/>
    <mergeCell ref="A6:B6"/>
    <mergeCell ref="B225:AH225"/>
    <mergeCell ref="P116:P117"/>
    <mergeCell ref="P114:P115"/>
    <mergeCell ref="E15:E16"/>
    <mergeCell ref="F15:F16"/>
    <mergeCell ref="G15:G16"/>
    <mergeCell ref="H15:H16"/>
    <mergeCell ref="K15:K16"/>
    <mergeCell ref="L15:L16"/>
    <mergeCell ref="J15:J16"/>
    <mergeCell ref="Q15:Q16"/>
    <mergeCell ref="R15:R16"/>
    <mergeCell ref="S15:S16"/>
    <mergeCell ref="T15:T16"/>
    <mergeCell ref="U15:U16"/>
    <mergeCell ref="D190:D191"/>
    <mergeCell ref="D192:D193"/>
    <mergeCell ref="D213:D214"/>
    <mergeCell ref="AE19:AE20"/>
    <mergeCell ref="AF19:AF20"/>
    <mergeCell ref="AG19:AG20"/>
    <mergeCell ref="K17:K18"/>
    <mergeCell ref="L17:L18"/>
    <mergeCell ref="M17:M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N17:N18"/>
    <mergeCell ref="S21:S22"/>
    <mergeCell ref="T21:T22"/>
    <mergeCell ref="U21:U22"/>
    <mergeCell ref="W21:W22"/>
    <mergeCell ref="X21:X22"/>
    <mergeCell ref="Y21:Y22"/>
    <mergeCell ref="Z21:Z22"/>
    <mergeCell ref="AA21:AA22"/>
    <mergeCell ref="AC21:AC22"/>
    <mergeCell ref="AD21:AD22"/>
    <mergeCell ref="AE21:AE22"/>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F21:AF22"/>
    <mergeCell ref="AG21:AG22"/>
    <mergeCell ref="E23:E24"/>
    <mergeCell ref="F23:F24"/>
    <mergeCell ref="G23:G24"/>
    <mergeCell ref="H23:H24"/>
    <mergeCell ref="K23:K24"/>
    <mergeCell ref="L23:L24"/>
    <mergeCell ref="M23:M24"/>
    <mergeCell ref="N23:N24"/>
    <mergeCell ref="Q23:Q24"/>
    <mergeCell ref="R23:R24"/>
    <mergeCell ref="S23:S24"/>
    <mergeCell ref="O23:O24"/>
    <mergeCell ref="T23:T24"/>
    <mergeCell ref="U23:U24"/>
    <mergeCell ref="W23:W24"/>
    <mergeCell ref="X23:X24"/>
    <mergeCell ref="Y23:Y24"/>
    <mergeCell ref="Z23:Z24"/>
    <mergeCell ref="AA23:AA24"/>
    <mergeCell ref="AC23:AC24"/>
    <mergeCell ref="AD23:AD24"/>
    <mergeCell ref="AE23:AE24"/>
    <mergeCell ref="AF23:AF24"/>
    <mergeCell ref="AG23:AG24"/>
    <mergeCell ref="K21:K22"/>
    <mergeCell ref="L21:L22"/>
    <mergeCell ref="M21:M22"/>
    <mergeCell ref="N21:N22"/>
    <mergeCell ref="Q21:Q22"/>
    <mergeCell ref="R21:R22"/>
    <mergeCell ref="AC25:AC26"/>
    <mergeCell ref="AD25:AD26"/>
    <mergeCell ref="AE25:AE26"/>
    <mergeCell ref="AF25:AF26"/>
    <mergeCell ref="AG25:AG26"/>
    <mergeCell ref="E27:E28"/>
    <mergeCell ref="F27:F28"/>
    <mergeCell ref="G27:G28"/>
    <mergeCell ref="H27:H28"/>
    <mergeCell ref="K27:K28"/>
    <mergeCell ref="L27:L28"/>
    <mergeCell ref="M27:M28"/>
    <mergeCell ref="N27:N28"/>
    <mergeCell ref="Q27:Q28"/>
    <mergeCell ref="R27:R28"/>
    <mergeCell ref="S27:S28"/>
    <mergeCell ref="O27:O28"/>
    <mergeCell ref="T27:T28"/>
    <mergeCell ref="U27:U28"/>
    <mergeCell ref="W27:W28"/>
    <mergeCell ref="X27:X28"/>
    <mergeCell ref="Y27:Y28"/>
    <mergeCell ref="Z27:Z28"/>
    <mergeCell ref="V27:V28"/>
    <mergeCell ref="AA27:AA28"/>
    <mergeCell ref="AC27:AC28"/>
    <mergeCell ref="AD27:AD28"/>
    <mergeCell ref="AE27:AE28"/>
    <mergeCell ref="AF27:AF28"/>
    <mergeCell ref="E25:E26"/>
    <mergeCell ref="F25:F26"/>
    <mergeCell ref="G25:G26"/>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Z25:Z26"/>
    <mergeCell ref="AA25:AA26"/>
    <mergeCell ref="V25:V26"/>
    <mergeCell ref="H25:H26"/>
    <mergeCell ref="K25:K26"/>
    <mergeCell ref="L25:L26"/>
    <mergeCell ref="M25:M26"/>
    <mergeCell ref="N25:N26"/>
    <mergeCell ref="Q25:Q26"/>
    <mergeCell ref="R25:R26"/>
    <mergeCell ref="S25:S26"/>
    <mergeCell ref="T25:T26"/>
    <mergeCell ref="O25:O26"/>
    <mergeCell ref="U25:U26"/>
    <mergeCell ref="W25:W26"/>
    <mergeCell ref="X25:X26"/>
    <mergeCell ref="Y25:Y26"/>
    <mergeCell ref="AA29:AA30"/>
    <mergeCell ref="V29:V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P31:P32"/>
    <mergeCell ref="W31:W32"/>
    <mergeCell ref="X31:X32"/>
    <mergeCell ref="Y31:Y32"/>
    <mergeCell ref="Z31:Z32"/>
    <mergeCell ref="AA31:AA32"/>
    <mergeCell ref="AC31:AC32"/>
    <mergeCell ref="AD31:AD32"/>
    <mergeCell ref="AE31:AE32"/>
    <mergeCell ref="AF31:AF32"/>
    <mergeCell ref="AG31:AG32"/>
    <mergeCell ref="E29:E30"/>
    <mergeCell ref="F29:F30"/>
    <mergeCell ref="G29:G30"/>
    <mergeCell ref="E33:E34"/>
    <mergeCell ref="F33:F34"/>
    <mergeCell ref="G33:G34"/>
    <mergeCell ref="H33:H34"/>
    <mergeCell ref="K33:K34"/>
    <mergeCell ref="L33:L34"/>
    <mergeCell ref="M33:M34"/>
    <mergeCell ref="N33:N34"/>
    <mergeCell ref="Q33:Q34"/>
    <mergeCell ref="R33:R34"/>
    <mergeCell ref="S33:S34"/>
    <mergeCell ref="T33:T34"/>
    <mergeCell ref="P33:P34"/>
    <mergeCell ref="O33:O34"/>
    <mergeCell ref="W33:W34"/>
    <mergeCell ref="X33:X34"/>
    <mergeCell ref="Y33:Y34"/>
    <mergeCell ref="Z33:Z34"/>
    <mergeCell ref="AA33:AA34"/>
    <mergeCell ref="AC33:AC34"/>
    <mergeCell ref="AB33:AB34"/>
    <mergeCell ref="AD33:AD34"/>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O35:O36"/>
    <mergeCell ref="P35:P36"/>
    <mergeCell ref="W35:W36"/>
    <mergeCell ref="X35:X36"/>
    <mergeCell ref="Y35:Y36"/>
    <mergeCell ref="Z35:Z36"/>
    <mergeCell ref="AA35:AA36"/>
    <mergeCell ref="AC35:AC36"/>
    <mergeCell ref="AB35:AB36"/>
    <mergeCell ref="AD35:AD36"/>
    <mergeCell ref="AE35:AE36"/>
    <mergeCell ref="AF35:AF36"/>
    <mergeCell ref="E37:E38"/>
    <mergeCell ref="F37:F38"/>
    <mergeCell ref="G37:G38"/>
    <mergeCell ref="H37:H38"/>
    <mergeCell ref="I37:I38"/>
    <mergeCell ref="K37:K38"/>
    <mergeCell ref="L37:L38"/>
    <mergeCell ref="M37:M38"/>
    <mergeCell ref="N37:N38"/>
    <mergeCell ref="Q37:Q38"/>
    <mergeCell ref="R37:R38"/>
    <mergeCell ref="S37:S38"/>
    <mergeCell ref="O37:O38"/>
    <mergeCell ref="P37:P38"/>
    <mergeCell ref="T37:T38"/>
    <mergeCell ref="U37:U38"/>
    <mergeCell ref="W37:W38"/>
    <mergeCell ref="X37:X38"/>
    <mergeCell ref="Y37:Y38"/>
    <mergeCell ref="Z37:Z38"/>
    <mergeCell ref="AA37:AA38"/>
    <mergeCell ref="AC37:AC38"/>
    <mergeCell ref="AD37:AD38"/>
    <mergeCell ref="AE37:AE38"/>
    <mergeCell ref="AF37:AF38"/>
    <mergeCell ref="AG37:AG38"/>
    <mergeCell ref="AB37:AB38"/>
    <mergeCell ref="E40:E41"/>
    <mergeCell ref="E42:E43"/>
    <mergeCell ref="E44:E45"/>
    <mergeCell ref="E46:E47"/>
    <mergeCell ref="E48:E49"/>
    <mergeCell ref="E50:E51"/>
    <mergeCell ref="E52:E53"/>
    <mergeCell ref="K40:K41"/>
    <mergeCell ref="L40:L41"/>
    <mergeCell ref="M40:M41"/>
    <mergeCell ref="N40:N41"/>
    <mergeCell ref="K42:K43"/>
    <mergeCell ref="L42:L43"/>
    <mergeCell ref="M42:M43"/>
    <mergeCell ref="N42:N43"/>
    <mergeCell ref="K44:K45"/>
    <mergeCell ref="L44:L45"/>
    <mergeCell ref="M44:M45"/>
    <mergeCell ref="N44:N45"/>
    <mergeCell ref="K46:K47"/>
    <mergeCell ref="L46:L47"/>
    <mergeCell ref="M46:M47"/>
    <mergeCell ref="E54:E55"/>
    <mergeCell ref="E56:E57"/>
    <mergeCell ref="F40:F41"/>
    <mergeCell ref="G40:G41"/>
    <mergeCell ref="H40:H41"/>
    <mergeCell ref="F42:F43"/>
    <mergeCell ref="G42:G43"/>
    <mergeCell ref="H42:H43"/>
    <mergeCell ref="F44:F45"/>
    <mergeCell ref="G44:G45"/>
    <mergeCell ref="H44:H45"/>
    <mergeCell ref="F46:F47"/>
    <mergeCell ref="G46:G47"/>
    <mergeCell ref="H46:H47"/>
    <mergeCell ref="F48:F49"/>
    <mergeCell ref="G48:G49"/>
    <mergeCell ref="H48:H49"/>
    <mergeCell ref="F50:F51"/>
    <mergeCell ref="G50:G51"/>
    <mergeCell ref="H50:H51"/>
    <mergeCell ref="F52:F53"/>
    <mergeCell ref="G52:G53"/>
    <mergeCell ref="H52:H53"/>
    <mergeCell ref="F54:F55"/>
    <mergeCell ref="G54:G55"/>
    <mergeCell ref="H54:H55"/>
    <mergeCell ref="F56:F57"/>
    <mergeCell ref="G56:G57"/>
    <mergeCell ref="H56:H57"/>
    <mergeCell ref="N46:N47"/>
    <mergeCell ref="K48:K49"/>
    <mergeCell ref="L48:L49"/>
    <mergeCell ref="M48:M49"/>
    <mergeCell ref="N48:N49"/>
    <mergeCell ref="K50:K51"/>
    <mergeCell ref="L50:L51"/>
    <mergeCell ref="M50:M51"/>
    <mergeCell ref="N50:N51"/>
    <mergeCell ref="K52:K53"/>
    <mergeCell ref="L52:L53"/>
    <mergeCell ref="M52:M53"/>
    <mergeCell ref="N52:N53"/>
    <mergeCell ref="K54:K55"/>
    <mergeCell ref="L54:L55"/>
    <mergeCell ref="M54:M55"/>
    <mergeCell ref="N54:N55"/>
    <mergeCell ref="K56:K57"/>
    <mergeCell ref="L56:L57"/>
    <mergeCell ref="M56:M57"/>
    <mergeCell ref="N56:N57"/>
    <mergeCell ref="Q40:Q41"/>
    <mergeCell ref="R40:R41"/>
    <mergeCell ref="Q44:Q45"/>
    <mergeCell ref="R44:R45"/>
    <mergeCell ref="Q48:Q49"/>
    <mergeCell ref="R48:R49"/>
    <mergeCell ref="S40:S41"/>
    <mergeCell ref="T40:T41"/>
    <mergeCell ref="Q42:Q43"/>
    <mergeCell ref="R42:R43"/>
    <mergeCell ref="S42:S43"/>
    <mergeCell ref="T42:T43"/>
    <mergeCell ref="S44:S45"/>
    <mergeCell ref="T44:T45"/>
    <mergeCell ref="Q46:Q47"/>
    <mergeCell ref="R46:R47"/>
    <mergeCell ref="S46:S47"/>
    <mergeCell ref="T46:T47"/>
    <mergeCell ref="S48:S49"/>
    <mergeCell ref="T48:T49"/>
    <mergeCell ref="Q50:Q51"/>
    <mergeCell ref="R50:R51"/>
    <mergeCell ref="S50:S51"/>
    <mergeCell ref="T50:T51"/>
    <mergeCell ref="Q52:Q53"/>
    <mergeCell ref="R52:R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Y40:Y41"/>
    <mergeCell ref="Z40:Z41"/>
    <mergeCell ref="W42:W43"/>
    <mergeCell ref="X42:X43"/>
    <mergeCell ref="Y42:Y43"/>
    <mergeCell ref="Z42:Z43"/>
    <mergeCell ref="Y44:Y45"/>
    <mergeCell ref="Z44:Z45"/>
    <mergeCell ref="W46:W47"/>
    <mergeCell ref="X46:X47"/>
    <mergeCell ref="Y46:Y47"/>
    <mergeCell ref="Z46:Z47"/>
    <mergeCell ref="Y48:Y49"/>
    <mergeCell ref="Z48:Z49"/>
    <mergeCell ref="W50:W51"/>
    <mergeCell ref="X50:X51"/>
    <mergeCell ref="Y50:Y51"/>
    <mergeCell ref="Z50:Z51"/>
    <mergeCell ref="W52:W53"/>
    <mergeCell ref="X52:X53"/>
    <mergeCell ref="Y52:Y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C42:AC43"/>
    <mergeCell ref="AD42:AD43"/>
    <mergeCell ref="AC56:AC57"/>
    <mergeCell ref="AD56:AD57"/>
    <mergeCell ref="AE44:AE45"/>
    <mergeCell ref="AF44:AF45"/>
    <mergeCell ref="AC46:AC47"/>
    <mergeCell ref="AD46:AD47"/>
    <mergeCell ref="AE46:AE47"/>
    <mergeCell ref="AF46:AF47"/>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E56:AE57"/>
    <mergeCell ref="AF56:AF57"/>
    <mergeCell ref="E59:E60"/>
    <mergeCell ref="F59:F60"/>
    <mergeCell ref="G59:G60"/>
    <mergeCell ref="H59:H60"/>
    <mergeCell ref="K59:K60"/>
    <mergeCell ref="L59:L60"/>
    <mergeCell ref="E61:E62"/>
    <mergeCell ref="F61:F62"/>
    <mergeCell ref="G61:G62"/>
    <mergeCell ref="H61:H62"/>
    <mergeCell ref="E63:E64"/>
    <mergeCell ref="F63:F64"/>
    <mergeCell ref="G63:G64"/>
    <mergeCell ref="H63:H64"/>
    <mergeCell ref="E65:E66"/>
    <mergeCell ref="F65:F66"/>
    <mergeCell ref="G65:G66"/>
    <mergeCell ref="H65:H66"/>
    <mergeCell ref="R59:R60"/>
    <mergeCell ref="S59:S60"/>
    <mergeCell ref="T59:T60"/>
    <mergeCell ref="R61:R62"/>
    <mergeCell ref="S61:S62"/>
    <mergeCell ref="T61:T62"/>
    <mergeCell ref="R63:R64"/>
    <mergeCell ref="S63:S64"/>
    <mergeCell ref="T63:T64"/>
    <mergeCell ref="R65:R66"/>
    <mergeCell ref="S65:S66"/>
    <mergeCell ref="T65:T66"/>
    <mergeCell ref="E67:E68"/>
    <mergeCell ref="F67:F68"/>
    <mergeCell ref="G67:G68"/>
    <mergeCell ref="H67:H68"/>
    <mergeCell ref="E69:E70"/>
    <mergeCell ref="F69:F70"/>
    <mergeCell ref="G69:G70"/>
    <mergeCell ref="H69:H70"/>
    <mergeCell ref="E71:E72"/>
    <mergeCell ref="F71:F72"/>
    <mergeCell ref="G71:G72"/>
    <mergeCell ref="H71:H72"/>
    <mergeCell ref="M59:M60"/>
    <mergeCell ref="N59:N60"/>
    <mergeCell ref="O59:O60"/>
    <mergeCell ref="K61:K62"/>
    <mergeCell ref="L61:L62"/>
    <mergeCell ref="M61:M62"/>
    <mergeCell ref="N61:N62"/>
    <mergeCell ref="O61:O62"/>
    <mergeCell ref="K63:K64"/>
    <mergeCell ref="L63:L64"/>
    <mergeCell ref="M63:M64"/>
    <mergeCell ref="N63:N64"/>
    <mergeCell ref="O63:O64"/>
    <mergeCell ref="K65:K66"/>
    <mergeCell ref="L65:L66"/>
    <mergeCell ref="M65:M66"/>
    <mergeCell ref="N65:N66"/>
    <mergeCell ref="O65:O66"/>
    <mergeCell ref="K67:K68"/>
    <mergeCell ref="L67:L68"/>
    <mergeCell ref="M67:M68"/>
    <mergeCell ref="N67:N68"/>
    <mergeCell ref="O67:O68"/>
    <mergeCell ref="K69:K70"/>
    <mergeCell ref="L69:L70"/>
    <mergeCell ref="M69:M70"/>
    <mergeCell ref="N69:N70"/>
    <mergeCell ref="O69:O70"/>
    <mergeCell ref="O71:O72"/>
    <mergeCell ref="Q59:Q60"/>
    <mergeCell ref="Q61:Q62"/>
    <mergeCell ref="Q63:Q64"/>
    <mergeCell ref="Q65:Q66"/>
    <mergeCell ref="Q67:Q68"/>
    <mergeCell ref="Q69:Q70"/>
    <mergeCell ref="Q71:Q72"/>
    <mergeCell ref="P59:P60"/>
    <mergeCell ref="R67:R68"/>
    <mergeCell ref="S67:S68"/>
    <mergeCell ref="T67:T68"/>
    <mergeCell ref="R69:R70"/>
    <mergeCell ref="S69:S70"/>
    <mergeCell ref="T69:T70"/>
    <mergeCell ref="R71:R72"/>
    <mergeCell ref="S71:S72"/>
    <mergeCell ref="T71:T72"/>
    <mergeCell ref="W59:W60"/>
    <mergeCell ref="X59:X60"/>
    <mergeCell ref="Y59:Y60"/>
    <mergeCell ref="W65:W66"/>
    <mergeCell ref="X65:X66"/>
    <mergeCell ref="Y65:Y66"/>
    <mergeCell ref="W67:W68"/>
    <mergeCell ref="Z59:Z60"/>
    <mergeCell ref="W61:W62"/>
    <mergeCell ref="X61:X62"/>
    <mergeCell ref="Y61:Y62"/>
    <mergeCell ref="Z61:Z62"/>
    <mergeCell ref="W63:W64"/>
    <mergeCell ref="X63:X64"/>
    <mergeCell ref="Y63:Y64"/>
    <mergeCell ref="Z63:Z64"/>
    <mergeCell ref="X67:X68"/>
    <mergeCell ref="Y67:Y68"/>
    <mergeCell ref="Z67:Z68"/>
    <mergeCell ref="W69:W70"/>
    <mergeCell ref="X69:X70"/>
    <mergeCell ref="Y69:Y70"/>
    <mergeCell ref="Z69:Z70"/>
    <mergeCell ref="AC59:AC60"/>
    <mergeCell ref="AD59:AD60"/>
    <mergeCell ref="AC63:AC64"/>
    <mergeCell ref="AD63:AD64"/>
    <mergeCell ref="AC65:AC66"/>
    <mergeCell ref="AD65:AD66"/>
    <mergeCell ref="AE59:AE60"/>
    <mergeCell ref="AF59:AF60"/>
    <mergeCell ref="AC61:AC62"/>
    <mergeCell ref="AD61:AD62"/>
    <mergeCell ref="AE61:AE62"/>
    <mergeCell ref="AF61:AF62"/>
    <mergeCell ref="AE65:AE66"/>
    <mergeCell ref="AF65:AF66"/>
    <mergeCell ref="AC67:AC68"/>
    <mergeCell ref="AD67:AD68"/>
    <mergeCell ref="AE67:AE68"/>
    <mergeCell ref="AF67:AF68"/>
    <mergeCell ref="E74:E75"/>
    <mergeCell ref="F74:F75"/>
    <mergeCell ref="G74:G75"/>
    <mergeCell ref="H74:H75"/>
    <mergeCell ref="E78:E79"/>
    <mergeCell ref="F78:F79"/>
    <mergeCell ref="G78:G79"/>
    <mergeCell ref="H78:H79"/>
    <mergeCell ref="K74:K75"/>
    <mergeCell ref="L74:L75"/>
    <mergeCell ref="M74:M75"/>
    <mergeCell ref="N74:N75"/>
    <mergeCell ref="K78:K79"/>
    <mergeCell ref="L78:L79"/>
    <mergeCell ref="M78:M79"/>
    <mergeCell ref="N78:N79"/>
    <mergeCell ref="Q74:Q75"/>
    <mergeCell ref="I78:I79"/>
    <mergeCell ref="O78:O79"/>
    <mergeCell ref="I74:I75"/>
    <mergeCell ref="O74:O75"/>
    <mergeCell ref="R74:R75"/>
    <mergeCell ref="S74:S75"/>
    <mergeCell ref="T74:T75"/>
    <mergeCell ref="Q78:Q79"/>
    <mergeCell ref="R78:R79"/>
    <mergeCell ref="S78:S79"/>
    <mergeCell ref="T78:T79"/>
    <mergeCell ref="W74:W75"/>
    <mergeCell ref="X74:X75"/>
    <mergeCell ref="Y74:Y75"/>
    <mergeCell ref="Z74:Z75"/>
    <mergeCell ref="W78:W79"/>
    <mergeCell ref="X78:X79"/>
    <mergeCell ref="Y78:Y79"/>
    <mergeCell ref="Z78:Z79"/>
    <mergeCell ref="AC74:AC75"/>
    <mergeCell ref="AD74:AD75"/>
    <mergeCell ref="AC78:AC79"/>
    <mergeCell ref="AD78:AD79"/>
    <mergeCell ref="U78:U79"/>
    <mergeCell ref="AA78:AA79"/>
    <mergeCell ref="U74:U75"/>
    <mergeCell ref="AA74:AA75"/>
    <mergeCell ref="AG74:AG75"/>
    <mergeCell ref="E83:E84"/>
    <mergeCell ref="F83:F84"/>
    <mergeCell ref="G83:G84"/>
    <mergeCell ref="H83:H84"/>
    <mergeCell ref="E85:E86"/>
    <mergeCell ref="F85:F86"/>
    <mergeCell ref="G85:G86"/>
    <mergeCell ref="H85:H86"/>
    <mergeCell ref="E87:E88"/>
    <mergeCell ref="F87:F88"/>
    <mergeCell ref="G87:G88"/>
    <mergeCell ref="H87:H88"/>
    <mergeCell ref="E89:E90"/>
    <mergeCell ref="F89:F90"/>
    <mergeCell ref="G89:G90"/>
    <mergeCell ref="H89:H90"/>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Y91:Y92"/>
    <mergeCell ref="Z91:Z92"/>
    <mergeCell ref="W93:W94"/>
    <mergeCell ref="X93:X94"/>
    <mergeCell ref="Y93:Y94"/>
    <mergeCell ref="Z93:Z9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G96:G97"/>
    <mergeCell ref="H96:H97"/>
    <mergeCell ref="M96:M97"/>
    <mergeCell ref="N96:N97"/>
    <mergeCell ref="E98:E99"/>
    <mergeCell ref="F98:F99"/>
    <mergeCell ref="G98:G99"/>
    <mergeCell ref="H98:H99"/>
    <mergeCell ref="E100:E101"/>
    <mergeCell ref="F100:F101"/>
    <mergeCell ref="G100:G101"/>
    <mergeCell ref="H100:H101"/>
    <mergeCell ref="E102:E103"/>
    <mergeCell ref="F102:F103"/>
    <mergeCell ref="G102:G103"/>
    <mergeCell ref="H102:H103"/>
    <mergeCell ref="X91:X92"/>
    <mergeCell ref="E91:E92"/>
    <mergeCell ref="F91:F92"/>
    <mergeCell ref="G91:G92"/>
    <mergeCell ref="H91:H92"/>
    <mergeCell ref="E93:E94"/>
    <mergeCell ref="F93:F94"/>
    <mergeCell ref="G93:G94"/>
    <mergeCell ref="H93:H94"/>
    <mergeCell ref="K93:K94"/>
    <mergeCell ref="L93:L94"/>
    <mergeCell ref="M93:M94"/>
    <mergeCell ref="N93:N94"/>
    <mergeCell ref="E104:E105"/>
    <mergeCell ref="F104:F105"/>
    <mergeCell ref="G104:G105"/>
    <mergeCell ref="H104:H105"/>
    <mergeCell ref="E106:E107"/>
    <mergeCell ref="F106:F107"/>
    <mergeCell ref="G106:G107"/>
    <mergeCell ref="H106:H107"/>
    <mergeCell ref="K96:K97"/>
    <mergeCell ref="L96:L97"/>
    <mergeCell ref="K98:K99"/>
    <mergeCell ref="L98:L99"/>
    <mergeCell ref="K102:K103"/>
    <mergeCell ref="L102:L103"/>
    <mergeCell ref="M98:M99"/>
    <mergeCell ref="N98:N99"/>
    <mergeCell ref="K100:K101"/>
    <mergeCell ref="L100:L101"/>
    <mergeCell ref="M100:M101"/>
    <mergeCell ref="N100:N101"/>
    <mergeCell ref="M102:M103"/>
    <mergeCell ref="N102:N103"/>
    <mergeCell ref="K104:K105"/>
    <mergeCell ref="L104:L105"/>
    <mergeCell ref="M104:M105"/>
    <mergeCell ref="N104:N105"/>
    <mergeCell ref="K106:K107"/>
    <mergeCell ref="L106:L107"/>
    <mergeCell ref="M106:M107"/>
    <mergeCell ref="N106:N107"/>
    <mergeCell ref="E96:E97"/>
    <mergeCell ref="F96:F97"/>
    <mergeCell ref="Q96:Q97"/>
    <mergeCell ref="R96:R97"/>
    <mergeCell ref="Q100:Q101"/>
    <mergeCell ref="R100:R101"/>
    <mergeCell ref="Q104:Q105"/>
    <mergeCell ref="R104:R105"/>
    <mergeCell ref="S96:S97"/>
    <mergeCell ref="T96:T97"/>
    <mergeCell ref="Q98:Q99"/>
    <mergeCell ref="R98:R99"/>
    <mergeCell ref="S98:S99"/>
    <mergeCell ref="T98:T99"/>
    <mergeCell ref="S100:S101"/>
    <mergeCell ref="T100:T101"/>
    <mergeCell ref="Q102:Q103"/>
    <mergeCell ref="R102:R103"/>
    <mergeCell ref="S102:S103"/>
    <mergeCell ref="T102:T103"/>
    <mergeCell ref="S104:S105"/>
    <mergeCell ref="T104:T105"/>
    <mergeCell ref="W96:W97"/>
    <mergeCell ref="X96:X97"/>
    <mergeCell ref="Y96:Y97"/>
    <mergeCell ref="Z96:Z9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AC106:AC107"/>
    <mergeCell ref="AD106:AD107"/>
    <mergeCell ref="AE106:AE107"/>
    <mergeCell ref="AF106:AF107"/>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W110:W111"/>
    <mergeCell ref="X110:X111"/>
    <mergeCell ref="W114:W115"/>
    <mergeCell ref="X114:X115"/>
    <mergeCell ref="Q106:Q107"/>
    <mergeCell ref="R106:R107"/>
    <mergeCell ref="S106:S107"/>
    <mergeCell ref="T106:T107"/>
    <mergeCell ref="W106:W107"/>
    <mergeCell ref="X106:X107"/>
    <mergeCell ref="Y106:Y107"/>
    <mergeCell ref="Z106:Z107"/>
    <mergeCell ref="P112:P113"/>
    <mergeCell ref="AB116:AB117"/>
    <mergeCell ref="AB114:AB115"/>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M110:M111"/>
    <mergeCell ref="N110:N111"/>
    <mergeCell ref="K112:K113"/>
    <mergeCell ref="L112:L113"/>
    <mergeCell ref="M112:M113"/>
    <mergeCell ref="N112:N113"/>
    <mergeCell ref="K114:K115"/>
    <mergeCell ref="L114:L115"/>
    <mergeCell ref="M114:M115"/>
    <mergeCell ref="N114:N115"/>
    <mergeCell ref="K116:K117"/>
    <mergeCell ref="L116:L117"/>
    <mergeCell ref="M116:M117"/>
    <mergeCell ref="N116:N117"/>
    <mergeCell ref="K118:K119"/>
    <mergeCell ref="L118:L119"/>
    <mergeCell ref="M118:M119"/>
    <mergeCell ref="N118:N119"/>
    <mergeCell ref="K120:K121"/>
    <mergeCell ref="L120:L121"/>
    <mergeCell ref="M120:M121"/>
    <mergeCell ref="N120:N121"/>
    <mergeCell ref="K122:K123"/>
    <mergeCell ref="L122:L123"/>
    <mergeCell ref="M122:M123"/>
    <mergeCell ref="N122:N123"/>
    <mergeCell ref="Q110:Q111"/>
    <mergeCell ref="R110:R111"/>
    <mergeCell ref="Q114:Q115"/>
    <mergeCell ref="R114:R115"/>
    <mergeCell ref="Q116:Q117"/>
    <mergeCell ref="R116:R117"/>
    <mergeCell ref="S110:S111"/>
    <mergeCell ref="T110:T111"/>
    <mergeCell ref="Q112:Q113"/>
    <mergeCell ref="R112:R113"/>
    <mergeCell ref="S112:S113"/>
    <mergeCell ref="T112:T113"/>
    <mergeCell ref="Q118:Q119"/>
    <mergeCell ref="R118:R119"/>
    <mergeCell ref="S118:S119"/>
    <mergeCell ref="T118:T119"/>
    <mergeCell ref="Q120:Q121"/>
    <mergeCell ref="R120:R121"/>
    <mergeCell ref="S120:S121"/>
    <mergeCell ref="T120:T121"/>
    <mergeCell ref="Q122:Q123"/>
    <mergeCell ref="R122:R123"/>
    <mergeCell ref="S122:S123"/>
    <mergeCell ref="T122:T123"/>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AB120:AB121"/>
    <mergeCell ref="AB122:AB123"/>
    <mergeCell ref="H131:H132"/>
    <mergeCell ref="E133:E134"/>
    <mergeCell ref="F133:F134"/>
    <mergeCell ref="G133:G134"/>
    <mergeCell ref="H133:H134"/>
    <mergeCell ref="L127:L128"/>
    <mergeCell ref="L129:L130"/>
    <mergeCell ref="L133:L134"/>
    <mergeCell ref="M129:M130"/>
    <mergeCell ref="N129:N130"/>
    <mergeCell ref="L131:L132"/>
    <mergeCell ref="M131:M132"/>
    <mergeCell ref="N131:N132"/>
    <mergeCell ref="M133:M134"/>
    <mergeCell ref="N133:N134"/>
    <mergeCell ref="W122:W123"/>
    <mergeCell ref="X122:X123"/>
    <mergeCell ref="P129:P130"/>
    <mergeCell ref="P131:P132"/>
    <mergeCell ref="P133:P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K127:K128"/>
    <mergeCell ref="K129:K130"/>
    <mergeCell ref="K133:K134"/>
    <mergeCell ref="K131:K132"/>
    <mergeCell ref="K135:K136"/>
    <mergeCell ref="E127:E128"/>
    <mergeCell ref="F127:F128"/>
    <mergeCell ref="G127:G128"/>
    <mergeCell ref="H127:H128"/>
    <mergeCell ref="E129:E130"/>
    <mergeCell ref="F129:F130"/>
    <mergeCell ref="G129:G130"/>
    <mergeCell ref="H129:H130"/>
    <mergeCell ref="E131:E132"/>
    <mergeCell ref="F131:F132"/>
    <mergeCell ref="G131:G132"/>
    <mergeCell ref="L135:L136"/>
    <mergeCell ref="M135:M136"/>
    <mergeCell ref="N135:N136"/>
    <mergeCell ref="K137:K138"/>
    <mergeCell ref="L137:L138"/>
    <mergeCell ref="M137:M138"/>
    <mergeCell ref="N137:N138"/>
    <mergeCell ref="K139:K140"/>
    <mergeCell ref="L139:L140"/>
    <mergeCell ref="M139:M140"/>
    <mergeCell ref="N139:N140"/>
    <mergeCell ref="L141:L142"/>
    <mergeCell ref="M141:M142"/>
    <mergeCell ref="N141:N142"/>
    <mergeCell ref="Q127:Q128"/>
    <mergeCell ref="R127:R128"/>
    <mergeCell ref="S127:S128"/>
    <mergeCell ref="Q133:Q134"/>
    <mergeCell ref="R133:R134"/>
    <mergeCell ref="S133:S134"/>
    <mergeCell ref="Q135:Q136"/>
    <mergeCell ref="Q141:Q142"/>
    <mergeCell ref="R141:R142"/>
    <mergeCell ref="S141:S142"/>
    <mergeCell ref="M127:M128"/>
    <mergeCell ref="N127:N128"/>
    <mergeCell ref="P135:P136"/>
    <mergeCell ref="T127:T128"/>
    <mergeCell ref="Q129:Q130"/>
    <mergeCell ref="R129:R130"/>
    <mergeCell ref="S129:S130"/>
    <mergeCell ref="T129:T130"/>
    <mergeCell ref="Q131:Q132"/>
    <mergeCell ref="R131:R132"/>
    <mergeCell ref="S131:S132"/>
    <mergeCell ref="T131:T132"/>
    <mergeCell ref="T135:T136"/>
    <mergeCell ref="Q137:Q138"/>
    <mergeCell ref="R137:R138"/>
    <mergeCell ref="S137:S138"/>
    <mergeCell ref="T137:T138"/>
    <mergeCell ref="Q139:Q140"/>
    <mergeCell ref="R139:R140"/>
    <mergeCell ref="S139:S140"/>
    <mergeCell ref="T139:T140"/>
    <mergeCell ref="T141:T142"/>
    <mergeCell ref="W127:W128"/>
    <mergeCell ref="X127:X128"/>
    <mergeCell ref="W131:W132"/>
    <mergeCell ref="X131:X132"/>
    <mergeCell ref="W135:W136"/>
    <mergeCell ref="X135:X136"/>
    <mergeCell ref="Y127:Y128"/>
    <mergeCell ref="Z127:Z128"/>
    <mergeCell ref="W129:W130"/>
    <mergeCell ref="X129:X130"/>
    <mergeCell ref="Y129:Y130"/>
    <mergeCell ref="Z129:Z130"/>
    <mergeCell ref="Y131:Y132"/>
    <mergeCell ref="Z131:Z132"/>
    <mergeCell ref="W133:W134"/>
    <mergeCell ref="X133:X134"/>
    <mergeCell ref="Y133:Y134"/>
    <mergeCell ref="Z133:Z134"/>
    <mergeCell ref="Y135:Y136"/>
    <mergeCell ref="Z135:Z136"/>
    <mergeCell ref="W137:W138"/>
    <mergeCell ref="X137:X138"/>
    <mergeCell ref="Y137:Y138"/>
    <mergeCell ref="Z137:Z138"/>
    <mergeCell ref="W139:W140"/>
    <mergeCell ref="X139:X140"/>
    <mergeCell ref="Y139:Y140"/>
    <mergeCell ref="Z139:Z140"/>
    <mergeCell ref="W141:W142"/>
    <mergeCell ref="X141:X142"/>
    <mergeCell ref="Y141:Y142"/>
    <mergeCell ref="AC131:AC132"/>
    <mergeCell ref="AD131:AD132"/>
    <mergeCell ref="AE131:AE132"/>
    <mergeCell ref="AF131:AF132"/>
    <mergeCell ref="AC133:AC134"/>
    <mergeCell ref="AD133:AD134"/>
    <mergeCell ref="AE133:AE134"/>
    <mergeCell ref="AF133:AF134"/>
    <mergeCell ref="AC135:AC136"/>
    <mergeCell ref="AD135:AD136"/>
    <mergeCell ref="AE135:AE136"/>
    <mergeCell ref="AF135:AF136"/>
    <mergeCell ref="AC137:AC138"/>
    <mergeCell ref="AD137:AD138"/>
    <mergeCell ref="AE137:AE138"/>
    <mergeCell ref="AF137:AF138"/>
    <mergeCell ref="AD139:AD140"/>
    <mergeCell ref="AE139:AE140"/>
    <mergeCell ref="AF139:AF140"/>
    <mergeCell ref="AC141:AC142"/>
    <mergeCell ref="AD141:AD142"/>
    <mergeCell ref="AE141:AE142"/>
    <mergeCell ref="AF141:AF142"/>
    <mergeCell ref="E146:E147"/>
    <mergeCell ref="E148:E149"/>
    <mergeCell ref="E150:E151"/>
    <mergeCell ref="F146:F147"/>
    <mergeCell ref="F148:F149"/>
    <mergeCell ref="F150:F151"/>
    <mergeCell ref="G146:G147"/>
    <mergeCell ref="H146:H147"/>
    <mergeCell ref="G148:G149"/>
    <mergeCell ref="H148:H149"/>
    <mergeCell ref="G150:G151"/>
    <mergeCell ref="H150:H151"/>
    <mergeCell ref="M146:M147"/>
    <mergeCell ref="N146:N147"/>
    <mergeCell ref="K148:K149"/>
    <mergeCell ref="L148:L149"/>
    <mergeCell ref="M148:M149"/>
    <mergeCell ref="N148:N149"/>
    <mergeCell ref="K150:K151"/>
    <mergeCell ref="L150:L151"/>
    <mergeCell ref="M150:M151"/>
    <mergeCell ref="N150:N151"/>
    <mergeCell ref="Q146:Q147"/>
    <mergeCell ref="R146:R147"/>
    <mergeCell ref="Q150:Q151"/>
    <mergeCell ref="R150:R151"/>
    <mergeCell ref="K146:K147"/>
    <mergeCell ref="L146:L147"/>
    <mergeCell ref="T146:T147"/>
    <mergeCell ref="Q148:Q149"/>
    <mergeCell ref="R148:R149"/>
    <mergeCell ref="S148:S149"/>
    <mergeCell ref="T148:T149"/>
    <mergeCell ref="S150:S151"/>
    <mergeCell ref="T150:T151"/>
    <mergeCell ref="W146:W147"/>
    <mergeCell ref="X146:X147"/>
    <mergeCell ref="Y146:Y147"/>
    <mergeCell ref="Z146:Z147"/>
    <mergeCell ref="W148:W149"/>
    <mergeCell ref="X148:X149"/>
    <mergeCell ref="Y148:Y149"/>
    <mergeCell ref="Z148:Z149"/>
    <mergeCell ref="W150:W151"/>
    <mergeCell ref="X150:X151"/>
    <mergeCell ref="Y150:Y151"/>
    <mergeCell ref="Z150:Z151"/>
    <mergeCell ref="AC146:AC147"/>
    <mergeCell ref="AD146:AD147"/>
    <mergeCell ref="AC150:AC151"/>
    <mergeCell ref="AD150:AD151"/>
    <mergeCell ref="AE146:AE147"/>
    <mergeCell ref="AF146:AF147"/>
    <mergeCell ref="AG146:AG147"/>
    <mergeCell ref="AC148:AC149"/>
    <mergeCell ref="AD148:AD149"/>
    <mergeCell ref="AE148:AE149"/>
    <mergeCell ref="AF148:AF149"/>
    <mergeCell ref="AG148:AG149"/>
    <mergeCell ref="AE150:AE151"/>
    <mergeCell ref="AF150:AF151"/>
    <mergeCell ref="AG150:AG151"/>
    <mergeCell ref="E153:E154"/>
    <mergeCell ref="F153:F154"/>
    <mergeCell ref="G153:G154"/>
    <mergeCell ref="H153:H154"/>
    <mergeCell ref="M153:M154"/>
    <mergeCell ref="N153:N154"/>
    <mergeCell ref="S153:S154"/>
    <mergeCell ref="Q153:Q154"/>
    <mergeCell ref="R153:R154"/>
    <mergeCell ref="T153:T154"/>
    <mergeCell ref="W153:W154"/>
    <mergeCell ref="X153:X154"/>
    <mergeCell ref="Y153:Y154"/>
    <mergeCell ref="Z153:Z154"/>
    <mergeCell ref="AE153:AE154"/>
    <mergeCell ref="AF153:AF154"/>
    <mergeCell ref="S146:S147"/>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53:K154"/>
    <mergeCell ref="L153:L154"/>
    <mergeCell ref="K155:K156"/>
    <mergeCell ref="L155:L156"/>
    <mergeCell ref="K161:K162"/>
    <mergeCell ref="L161:L162"/>
    <mergeCell ref="N155:N156"/>
    <mergeCell ref="K157:K158"/>
    <mergeCell ref="L157:L158"/>
    <mergeCell ref="M157:M158"/>
    <mergeCell ref="N157:N158"/>
    <mergeCell ref="K159:K160"/>
    <mergeCell ref="L159:L160"/>
    <mergeCell ref="M159:M160"/>
    <mergeCell ref="N159:N160"/>
    <mergeCell ref="M161:M162"/>
    <mergeCell ref="N161:N162"/>
    <mergeCell ref="K163:K164"/>
    <mergeCell ref="L163:L164"/>
    <mergeCell ref="M163:M164"/>
    <mergeCell ref="N163:N164"/>
    <mergeCell ref="L165:L166"/>
    <mergeCell ref="M165:M166"/>
    <mergeCell ref="N165:N166"/>
    <mergeCell ref="M173:M174"/>
    <mergeCell ref="N173:N174"/>
    <mergeCell ref="K175:K176"/>
    <mergeCell ref="L175:L176"/>
    <mergeCell ref="M175:M176"/>
    <mergeCell ref="N175:N176"/>
    <mergeCell ref="K177:K178"/>
    <mergeCell ref="L177:L178"/>
    <mergeCell ref="M177:M178"/>
    <mergeCell ref="N177:N178"/>
    <mergeCell ref="K179:K180"/>
    <mergeCell ref="L179:L180"/>
    <mergeCell ref="M179:M180"/>
    <mergeCell ref="N179:N180"/>
    <mergeCell ref="K183:K184"/>
    <mergeCell ref="L183:L184"/>
    <mergeCell ref="M183:M184"/>
    <mergeCell ref="N183:N184"/>
    <mergeCell ref="S157:S158"/>
    <mergeCell ref="T157:T158"/>
    <mergeCell ref="S159:S160"/>
    <mergeCell ref="T159:T160"/>
    <mergeCell ref="Q161:Q162"/>
    <mergeCell ref="R161:R162"/>
    <mergeCell ref="S161:S162"/>
    <mergeCell ref="T161:T162"/>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7:Q178"/>
    <mergeCell ref="R177:R178"/>
    <mergeCell ref="S177:S178"/>
    <mergeCell ref="T177:T178"/>
    <mergeCell ref="Q179:Q180"/>
    <mergeCell ref="R179:R180"/>
    <mergeCell ref="S179:S180"/>
    <mergeCell ref="T179:T180"/>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C157:AC158"/>
    <mergeCell ref="AD157:AD158"/>
    <mergeCell ref="AC161:AC162"/>
    <mergeCell ref="AD161:AD162"/>
    <mergeCell ref="AC155:AC156"/>
    <mergeCell ref="AD155:AD156"/>
    <mergeCell ref="AC167:AC168"/>
    <mergeCell ref="AD167:AD168"/>
    <mergeCell ref="AC169:AC170"/>
    <mergeCell ref="AD169:AD170"/>
    <mergeCell ref="AC171:AC172"/>
    <mergeCell ref="AD171:AD172"/>
    <mergeCell ref="AC173:AC174"/>
    <mergeCell ref="AD173:AD174"/>
    <mergeCell ref="AC175:AC176"/>
    <mergeCell ref="AD175:AD176"/>
    <mergeCell ref="AC179:AC180"/>
    <mergeCell ref="AD179:AD180"/>
    <mergeCell ref="AE155:AE156"/>
    <mergeCell ref="AF155:AF156"/>
    <mergeCell ref="AE157:AE158"/>
    <mergeCell ref="AF157:AF158"/>
    <mergeCell ref="AC159:AC160"/>
    <mergeCell ref="AD159:AD160"/>
    <mergeCell ref="AE159:AE160"/>
    <mergeCell ref="AF159:AF160"/>
    <mergeCell ref="AE161:AE162"/>
    <mergeCell ref="AF161:AF162"/>
    <mergeCell ref="AC163:AC164"/>
    <mergeCell ref="AD163:AD164"/>
    <mergeCell ref="AE163:AE164"/>
    <mergeCell ref="AF163:AF164"/>
    <mergeCell ref="AC165:AC166"/>
    <mergeCell ref="AD165:AD166"/>
    <mergeCell ref="AE165:AE166"/>
    <mergeCell ref="AF165:AF166"/>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E190:E191"/>
    <mergeCell ref="F190:F191"/>
    <mergeCell ref="G190:G191"/>
    <mergeCell ref="H190:H191"/>
    <mergeCell ref="M190:M191"/>
    <mergeCell ref="N190:N191"/>
    <mergeCell ref="K190:K191"/>
    <mergeCell ref="L190:L191"/>
    <mergeCell ref="Q190:Q191"/>
    <mergeCell ref="R190:R191"/>
    <mergeCell ref="S190:S191"/>
    <mergeCell ref="T190:T191"/>
    <mergeCell ref="W190:W191"/>
    <mergeCell ref="X190:X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6:E197"/>
    <mergeCell ref="F196:F197"/>
    <mergeCell ref="G196:G197"/>
    <mergeCell ref="H196:H197"/>
    <mergeCell ref="E198:E199"/>
    <mergeCell ref="F198:F199"/>
    <mergeCell ref="G198:G199"/>
    <mergeCell ref="H198:H199"/>
    <mergeCell ref="E192:E193"/>
    <mergeCell ref="F192:F193"/>
    <mergeCell ref="G192:G193"/>
    <mergeCell ref="H192:H193"/>
    <mergeCell ref="K192:K193"/>
    <mergeCell ref="L192:L193"/>
    <mergeCell ref="M192:M193"/>
    <mergeCell ref="N192:N193"/>
    <mergeCell ref="Q192:Q193"/>
    <mergeCell ref="R192:R193"/>
    <mergeCell ref="S192:S193"/>
    <mergeCell ref="T192:T193"/>
    <mergeCell ref="E200:E201"/>
    <mergeCell ref="F200:F201"/>
    <mergeCell ref="G200:G201"/>
    <mergeCell ref="H200:H201"/>
    <mergeCell ref="E202:E203"/>
    <mergeCell ref="F202:F203"/>
    <mergeCell ref="G202:G203"/>
    <mergeCell ref="H202:H203"/>
    <mergeCell ref="E204:E205"/>
    <mergeCell ref="F204:F205"/>
    <mergeCell ref="G204:G205"/>
    <mergeCell ref="H204:H205"/>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W200:W201"/>
    <mergeCell ref="X200:X201"/>
    <mergeCell ref="W204:W205"/>
    <mergeCell ref="X204:X205"/>
    <mergeCell ref="Y196:Y197"/>
    <mergeCell ref="Z196:Z197"/>
    <mergeCell ref="W198:W199"/>
    <mergeCell ref="X198:X199"/>
    <mergeCell ref="Y198:Y199"/>
    <mergeCell ref="Z198:Z199"/>
    <mergeCell ref="Y200:Y201"/>
    <mergeCell ref="Z200:Z201"/>
    <mergeCell ref="W202:W203"/>
    <mergeCell ref="X202:X203"/>
    <mergeCell ref="Y202:Y203"/>
    <mergeCell ref="Z202:Z203"/>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C213:AC214"/>
    <mergeCell ref="AD213:AD214"/>
    <mergeCell ref="AE213:AE214"/>
    <mergeCell ref="AF210:AF211"/>
    <mergeCell ref="G213:G214"/>
    <mergeCell ref="H213:H214"/>
    <mergeCell ref="E215:E216"/>
    <mergeCell ref="F215:F216"/>
    <mergeCell ref="G215:G216"/>
    <mergeCell ref="H215:H216"/>
    <mergeCell ref="E217:E218"/>
    <mergeCell ref="F217:F218"/>
    <mergeCell ref="G217:G218"/>
    <mergeCell ref="H217:H218"/>
    <mergeCell ref="K213:K214"/>
    <mergeCell ref="L213:L214"/>
    <mergeCell ref="K217:K218"/>
    <mergeCell ref="L217:L218"/>
    <mergeCell ref="E213:E214"/>
    <mergeCell ref="F213:F214"/>
    <mergeCell ref="M213:M214"/>
    <mergeCell ref="N213:N214"/>
    <mergeCell ref="K215:K216"/>
    <mergeCell ref="L215:L216"/>
    <mergeCell ref="M215:M216"/>
    <mergeCell ref="N215:N216"/>
    <mergeCell ref="M217:M218"/>
    <mergeCell ref="N217:N218"/>
    <mergeCell ref="Q213:Q214"/>
    <mergeCell ref="R213:R214"/>
    <mergeCell ref="S213:S214"/>
    <mergeCell ref="T213:T214"/>
    <mergeCell ref="L239:L240"/>
    <mergeCell ref="M239:M240"/>
    <mergeCell ref="N239:N240"/>
    <mergeCell ref="L241:L242"/>
    <mergeCell ref="M241:M242"/>
    <mergeCell ref="T215:T216"/>
    <mergeCell ref="S217:S218"/>
    <mergeCell ref="T217:T218"/>
    <mergeCell ref="W213:W214"/>
    <mergeCell ref="X213:X214"/>
    <mergeCell ref="W217:W218"/>
    <mergeCell ref="X217:X218"/>
    <mergeCell ref="V217:V218"/>
    <mergeCell ref="Y213:Y214"/>
    <mergeCell ref="Z213:Z214"/>
    <mergeCell ref="W215:W216"/>
    <mergeCell ref="X215:X216"/>
    <mergeCell ref="Y215:Y216"/>
    <mergeCell ref="Z215:Z216"/>
    <mergeCell ref="Q215:Q216"/>
    <mergeCell ref="R215:R216"/>
    <mergeCell ref="S215:S216"/>
    <mergeCell ref="E249:E250"/>
    <mergeCell ref="F249:F250"/>
    <mergeCell ref="G249:G250"/>
    <mergeCell ref="H249:H250"/>
    <mergeCell ref="E247:E248"/>
    <mergeCell ref="AF213:AF214"/>
    <mergeCell ref="AC215:AC216"/>
    <mergeCell ref="AD215:AD216"/>
    <mergeCell ref="AE215:AE216"/>
    <mergeCell ref="AF215:AF216"/>
    <mergeCell ref="AC217:AC218"/>
    <mergeCell ref="AD217:AD218"/>
    <mergeCell ref="AE217:AE218"/>
    <mergeCell ref="AF217:AF218"/>
    <mergeCell ref="F241:F242"/>
    <mergeCell ref="G241:G242"/>
    <mergeCell ref="Y217:Y218"/>
    <mergeCell ref="Z217:Z218"/>
    <mergeCell ref="Q217:Q218"/>
    <mergeCell ref="R217:R218"/>
    <mergeCell ref="E237:E238"/>
    <mergeCell ref="F237:F238"/>
    <mergeCell ref="G237:G238"/>
    <mergeCell ref="H237:H238"/>
    <mergeCell ref="E239:E240"/>
    <mergeCell ref="F239:F240"/>
    <mergeCell ref="G239:G240"/>
    <mergeCell ref="H239:H240"/>
    <mergeCell ref="H241:H242"/>
    <mergeCell ref="L237:L238"/>
    <mergeCell ref="M237:M238"/>
    <mergeCell ref="N237:N238"/>
    <mergeCell ref="L253:L254"/>
    <mergeCell ref="M253:M254"/>
    <mergeCell ref="N253:N254"/>
    <mergeCell ref="F251:F252"/>
    <mergeCell ref="G251:G252"/>
    <mergeCell ref="H251:H252"/>
    <mergeCell ref="E253:E254"/>
    <mergeCell ref="F253:F254"/>
    <mergeCell ref="G253:G254"/>
    <mergeCell ref="H253:H254"/>
    <mergeCell ref="E251:E252"/>
    <mergeCell ref="K237:K238"/>
    <mergeCell ref="K239:K240"/>
    <mergeCell ref="K241:K242"/>
    <mergeCell ref="K243:K244"/>
    <mergeCell ref="K245:K246"/>
    <mergeCell ref="K247:K248"/>
    <mergeCell ref="K249:K250"/>
    <mergeCell ref="K251:K252"/>
    <mergeCell ref="K253:K254"/>
    <mergeCell ref="E243:E244"/>
    <mergeCell ref="F243:F244"/>
    <mergeCell ref="G243:G244"/>
    <mergeCell ref="H243:H244"/>
    <mergeCell ref="E245:E246"/>
    <mergeCell ref="F245:F246"/>
    <mergeCell ref="G245:G246"/>
    <mergeCell ref="H245:H246"/>
    <mergeCell ref="E241:E242"/>
    <mergeCell ref="F247:F248"/>
    <mergeCell ref="G247:G248"/>
    <mergeCell ref="H247:H248"/>
    <mergeCell ref="R245:R246"/>
    <mergeCell ref="S245:S246"/>
    <mergeCell ref="T245:T246"/>
    <mergeCell ref="N241:N242"/>
    <mergeCell ref="L243:L244"/>
    <mergeCell ref="M243:M244"/>
    <mergeCell ref="N243:N244"/>
    <mergeCell ref="L245:L246"/>
    <mergeCell ref="M245:M246"/>
    <mergeCell ref="N245:N246"/>
    <mergeCell ref="L247:L248"/>
    <mergeCell ref="M247:M248"/>
    <mergeCell ref="N247:N248"/>
    <mergeCell ref="L249:L250"/>
    <mergeCell ref="M249:M250"/>
    <mergeCell ref="N249:N250"/>
    <mergeCell ref="L251:L252"/>
    <mergeCell ref="M251:M252"/>
    <mergeCell ref="N251:N252"/>
    <mergeCell ref="P249:P250"/>
    <mergeCell ref="R247:R248"/>
    <mergeCell ref="S247:S248"/>
    <mergeCell ref="T247:T248"/>
    <mergeCell ref="Q249:Q250"/>
    <mergeCell ref="R249:R250"/>
    <mergeCell ref="S249:S250"/>
    <mergeCell ref="T249:T250"/>
    <mergeCell ref="Q247:Q248"/>
    <mergeCell ref="R251:R252"/>
    <mergeCell ref="S251:S252"/>
    <mergeCell ref="T251:T252"/>
    <mergeCell ref="Q253:Q254"/>
    <mergeCell ref="R253:R254"/>
    <mergeCell ref="S253:S254"/>
    <mergeCell ref="T253:T254"/>
    <mergeCell ref="Q251:Q252"/>
    <mergeCell ref="W237:W238"/>
    <mergeCell ref="W247:W248"/>
    <mergeCell ref="T237:T238"/>
    <mergeCell ref="Q239:Q240"/>
    <mergeCell ref="R239:R240"/>
    <mergeCell ref="S239:S240"/>
    <mergeCell ref="T239:T240"/>
    <mergeCell ref="Q241:Q242"/>
    <mergeCell ref="R241:R242"/>
    <mergeCell ref="S241:S242"/>
    <mergeCell ref="T241:T242"/>
    <mergeCell ref="Q243:Q244"/>
    <mergeCell ref="R243:R244"/>
    <mergeCell ref="S243:S244"/>
    <mergeCell ref="T243:T244"/>
    <mergeCell ref="Q245:Q246"/>
    <mergeCell ref="X237:X238"/>
    <mergeCell ref="Y237:Y238"/>
    <mergeCell ref="Z237:Z238"/>
    <mergeCell ref="W239:W240"/>
    <mergeCell ref="X239:X240"/>
    <mergeCell ref="Y239:Y240"/>
    <mergeCell ref="Z239:Z240"/>
    <mergeCell ref="W241:W242"/>
    <mergeCell ref="X241:X242"/>
    <mergeCell ref="Y241:Y242"/>
    <mergeCell ref="Z241:Z242"/>
    <mergeCell ref="W243:W244"/>
    <mergeCell ref="X243:X244"/>
    <mergeCell ref="Y243:Y244"/>
    <mergeCell ref="Z243:Z244"/>
    <mergeCell ref="W245:W246"/>
    <mergeCell ref="X245:X246"/>
    <mergeCell ref="Y245:Y246"/>
    <mergeCell ref="Z245:Z246"/>
    <mergeCell ref="X247:X248"/>
    <mergeCell ref="Y247:Y248"/>
    <mergeCell ref="Z247:Z248"/>
    <mergeCell ref="X249:X250"/>
    <mergeCell ref="Y249:Y250"/>
    <mergeCell ref="Z249:Z250"/>
    <mergeCell ref="W251:W252"/>
    <mergeCell ref="X251:X252"/>
    <mergeCell ref="Y251:Y252"/>
    <mergeCell ref="Z251:Z252"/>
    <mergeCell ref="AD241:AD242"/>
    <mergeCell ref="AE241:AE242"/>
    <mergeCell ref="AC241:AC242"/>
    <mergeCell ref="AF241:AF242"/>
    <mergeCell ref="W253:W254"/>
    <mergeCell ref="X253:X254"/>
    <mergeCell ref="Y253:Y254"/>
    <mergeCell ref="Z253:Z254"/>
    <mergeCell ref="AC243:AC244"/>
    <mergeCell ref="W249:W250"/>
    <mergeCell ref="AC249:AC250"/>
    <mergeCell ref="AD249:AD250"/>
    <mergeCell ref="AE249:AE250"/>
    <mergeCell ref="AF249:AF250"/>
    <mergeCell ref="AC251:AC252"/>
    <mergeCell ref="AD251:AD252"/>
    <mergeCell ref="AE251:AE252"/>
    <mergeCell ref="AF251:AF252"/>
    <mergeCell ref="AC253:AC254"/>
    <mergeCell ref="AD253:AD254"/>
    <mergeCell ref="AE253:AE254"/>
    <mergeCell ref="AF253:AF254"/>
    <mergeCell ref="AC237:AC238"/>
    <mergeCell ref="AD237:AD238"/>
    <mergeCell ref="AE237:AE238"/>
    <mergeCell ref="AF237:AF238"/>
    <mergeCell ref="AC239:AC240"/>
    <mergeCell ref="AD239:AD240"/>
    <mergeCell ref="AE239:AE240"/>
    <mergeCell ref="AF239:AF240"/>
    <mergeCell ref="AD243:AD244"/>
    <mergeCell ref="AE243:AE244"/>
    <mergeCell ref="AF243:AF244"/>
    <mergeCell ref="AC245:AC246"/>
    <mergeCell ref="AD245:AD246"/>
    <mergeCell ref="AE245:AE246"/>
    <mergeCell ref="AF245:AF246"/>
    <mergeCell ref="AC247:AC248"/>
    <mergeCell ref="AD247:AD248"/>
    <mergeCell ref="AE247:AE248"/>
    <mergeCell ref="AF247:AF248"/>
  </mergeCells>
  <phoneticPr fontId="21" type="noConversion"/>
  <pageMargins left="0.2" right="0.2" top="0.94" bottom="0.57999999999999996" header="0.3" footer="0.17"/>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97C20-C624-499A-AB11-99453B5B02B1}">
  <dimension ref="A1:AH283"/>
  <sheetViews>
    <sheetView zoomScale="90" zoomScaleNormal="90" workbookViewId="0">
      <pane xSplit="3" ySplit="14" topLeftCell="D15" activePane="bottomRight" state="frozen"/>
      <selection pane="topRight" activeCell="I1" sqref="I1"/>
      <selection pane="bottomLeft" activeCell="A15" sqref="A15"/>
      <selection pane="bottomRight" activeCell="A8" sqref="A8:T8"/>
    </sheetView>
  </sheetViews>
  <sheetFormatPr defaultColWidth="9.109375" defaultRowHeight="10.199999999999999" x14ac:dyDescent="0.2"/>
  <cols>
    <col min="1" max="1" width="3.21875" style="3" customWidth="1"/>
    <col min="2" max="2" width="19.109375" style="3" customWidth="1"/>
    <col min="3" max="3" width="4.44140625" style="3" customWidth="1"/>
    <col min="4" max="4" width="2.5546875" style="3" customWidth="1"/>
    <col min="5" max="5" width="5.6640625" style="3" customWidth="1"/>
    <col min="6" max="8" width="5.44140625" style="3" customWidth="1"/>
    <col min="9" max="9" width="4.77734375" style="3" customWidth="1"/>
    <col min="10" max="10" width="6.5546875" style="3" customWidth="1"/>
    <col min="11" max="15" width="4.77734375" style="3" customWidth="1"/>
    <col min="16" max="16" width="5.88671875" style="3" customWidth="1"/>
    <col min="17" max="21" width="4.77734375" style="3" customWidth="1"/>
    <col min="22" max="22" width="5.77734375" style="3" customWidth="1"/>
    <col min="23" max="23" width="6" style="3" customWidth="1"/>
    <col min="24" max="25" width="5.5546875" style="3" customWidth="1"/>
    <col min="26" max="26" width="5.6640625" style="3" customWidth="1"/>
    <col min="27" max="27" width="4.77734375" style="3" customWidth="1"/>
    <col min="28" max="28" width="6.77734375" style="3" customWidth="1"/>
    <col min="29" max="33" width="4.77734375" style="3" customWidth="1"/>
    <col min="34" max="34" width="6" style="3" customWidth="1"/>
    <col min="35" max="16384" width="9.109375" style="3"/>
  </cols>
  <sheetData>
    <row r="1" spans="1:34" x14ac:dyDescent="0.2">
      <c r="A1" s="62"/>
      <c r="B1" s="62"/>
      <c r="C1" s="62"/>
      <c r="D1" s="62"/>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row>
    <row r="2" spans="1:34" x14ac:dyDescent="0.2">
      <c r="A2" s="341" t="s">
        <v>51</v>
      </c>
      <c r="B2" s="341"/>
      <c r="C2" s="341"/>
      <c r="D2" s="326"/>
      <c r="E2" s="326"/>
      <c r="F2" s="326"/>
      <c r="G2" s="326"/>
      <c r="H2" s="326"/>
      <c r="I2" s="326"/>
      <c r="J2" s="326"/>
      <c r="K2" s="326"/>
      <c r="L2" s="326"/>
      <c r="M2" s="326"/>
      <c r="N2" s="326"/>
      <c r="O2" s="326"/>
      <c r="P2" s="326"/>
      <c r="Q2" s="11"/>
      <c r="R2" s="11"/>
      <c r="S2" s="11"/>
      <c r="T2" s="11"/>
      <c r="U2" s="11"/>
      <c r="V2" s="11"/>
      <c r="W2" s="11"/>
      <c r="X2" s="11"/>
      <c r="Y2" s="11"/>
      <c r="Z2" s="11"/>
      <c r="AA2" s="11"/>
      <c r="AB2" s="11"/>
      <c r="AC2" s="11"/>
      <c r="AD2" s="11"/>
      <c r="AE2" s="11"/>
      <c r="AF2" s="11"/>
      <c r="AG2" s="11"/>
      <c r="AH2" s="11"/>
    </row>
    <row r="3" spans="1:34" x14ac:dyDescent="0.2">
      <c r="A3" s="341" t="s">
        <v>50</v>
      </c>
      <c r="B3" s="341"/>
      <c r="C3" s="341"/>
      <c r="D3" s="326"/>
      <c r="E3" s="326"/>
      <c r="F3" s="326"/>
      <c r="G3" s="326"/>
      <c r="H3" s="326"/>
      <c r="I3" s="326"/>
      <c r="J3" s="326"/>
      <c r="K3" s="326"/>
      <c r="L3" s="11"/>
      <c r="M3" s="11"/>
      <c r="N3" s="11"/>
      <c r="O3" s="11"/>
      <c r="P3" s="11"/>
      <c r="Q3" s="11"/>
      <c r="R3" s="11"/>
      <c r="S3" s="11"/>
      <c r="T3" s="11"/>
      <c r="U3" s="11"/>
      <c r="V3" s="11"/>
      <c r="W3" s="11"/>
      <c r="X3" s="11"/>
      <c r="Y3" s="11"/>
      <c r="Z3" s="11"/>
      <c r="AA3" s="11"/>
      <c r="AB3" s="11"/>
      <c r="AC3" s="11"/>
      <c r="AD3" s="11"/>
      <c r="AE3" s="11"/>
      <c r="AF3" s="11"/>
      <c r="AG3" s="11"/>
      <c r="AH3" s="11"/>
    </row>
    <row r="4" spans="1:34" x14ac:dyDescent="0.2">
      <c r="A4" s="341" t="s">
        <v>73</v>
      </c>
      <c r="B4" s="341"/>
      <c r="C4" s="341"/>
      <c r="D4" s="63"/>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34" x14ac:dyDescent="0.2">
      <c r="A5" s="343" t="s">
        <v>148</v>
      </c>
      <c r="B5" s="326"/>
      <c r="C5" s="64"/>
      <c r="D5" s="64"/>
      <c r="E5" s="11"/>
      <c r="F5" s="11"/>
      <c r="G5" s="11"/>
      <c r="H5" s="11"/>
      <c r="I5" s="11"/>
      <c r="J5" s="11"/>
      <c r="K5" s="11"/>
      <c r="L5" s="11"/>
      <c r="M5" s="11"/>
      <c r="N5" s="11"/>
      <c r="O5" s="11"/>
      <c r="P5" s="11"/>
      <c r="Q5" s="11" t="s">
        <v>74</v>
      </c>
      <c r="R5" s="15"/>
      <c r="S5" s="11"/>
      <c r="T5" s="11"/>
      <c r="U5" s="11"/>
      <c r="V5" s="11"/>
      <c r="W5" s="11" t="s">
        <v>74</v>
      </c>
      <c r="X5" s="11"/>
      <c r="Y5" s="324"/>
      <c r="Z5" s="11"/>
      <c r="AA5" s="11"/>
      <c r="AB5" s="11"/>
      <c r="AC5" s="11" t="s">
        <v>74</v>
      </c>
      <c r="AD5" s="11"/>
      <c r="AE5" s="11"/>
      <c r="AF5" s="11"/>
      <c r="AG5" s="11"/>
      <c r="AH5" s="11"/>
    </row>
    <row r="6" spans="1:34" x14ac:dyDescent="0.2">
      <c r="A6" s="343" t="s">
        <v>154</v>
      </c>
      <c r="B6" s="326"/>
      <c r="C6" s="62"/>
      <c r="D6" s="62"/>
      <c r="E6" s="11"/>
      <c r="F6" s="11"/>
      <c r="G6" s="11"/>
      <c r="H6" s="11"/>
      <c r="I6" s="16"/>
      <c r="J6" s="16"/>
      <c r="K6" s="11"/>
      <c r="L6" s="11"/>
      <c r="M6" s="11"/>
      <c r="N6" s="11"/>
      <c r="O6" s="16"/>
      <c r="P6" s="11"/>
      <c r="Q6" s="11"/>
      <c r="R6" s="11"/>
      <c r="S6" s="11"/>
      <c r="T6" s="11"/>
      <c r="U6" s="16"/>
      <c r="V6" s="16"/>
      <c r="W6" s="11"/>
      <c r="X6" s="11"/>
      <c r="Y6" s="324"/>
      <c r="Z6" s="11"/>
      <c r="AA6" s="16"/>
      <c r="AB6" s="16"/>
      <c r="AC6" s="11"/>
      <c r="AD6" s="11"/>
      <c r="AE6" s="11"/>
      <c r="AF6" s="11"/>
      <c r="AG6" s="16"/>
      <c r="AH6" s="16"/>
    </row>
    <row r="7" spans="1:34" x14ac:dyDescent="0.2">
      <c r="A7" s="325"/>
      <c r="B7" s="325"/>
      <c r="C7" s="325"/>
      <c r="D7" s="11"/>
      <c r="I7" s="11"/>
      <c r="J7" s="11"/>
      <c r="O7" s="11"/>
      <c r="P7" s="11"/>
      <c r="U7" s="11"/>
      <c r="V7" s="11"/>
      <c r="AA7" s="11"/>
      <c r="AB7" s="11"/>
      <c r="AG7" s="11"/>
      <c r="AH7" s="11"/>
    </row>
    <row r="8" spans="1:34" x14ac:dyDescent="0.2">
      <c r="A8" s="325" t="s">
        <v>156</v>
      </c>
      <c r="B8" s="325"/>
      <c r="C8" s="325"/>
      <c r="D8" s="326"/>
      <c r="E8" s="326"/>
      <c r="F8" s="326"/>
      <c r="G8" s="326"/>
      <c r="H8" s="326"/>
      <c r="I8" s="326"/>
      <c r="J8" s="326"/>
      <c r="K8" s="326"/>
      <c r="L8" s="326"/>
      <c r="M8" s="326"/>
      <c r="N8" s="326"/>
      <c r="O8" s="326"/>
      <c r="P8" s="326"/>
      <c r="Q8" s="326"/>
      <c r="R8" s="326"/>
      <c r="S8" s="326"/>
      <c r="T8" s="326"/>
      <c r="U8" s="11"/>
      <c r="V8" s="11"/>
      <c r="AA8" s="11"/>
      <c r="AB8" s="11"/>
      <c r="AG8" s="11"/>
      <c r="AH8" s="11"/>
    </row>
    <row r="9" spans="1:34" x14ac:dyDescent="0.2">
      <c r="A9" s="62"/>
      <c r="B9" s="62"/>
      <c r="C9" s="62"/>
      <c r="D9" s="62"/>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row>
    <row r="10" spans="1:34" ht="20.399999999999999" x14ac:dyDescent="0.2">
      <c r="A10" s="65"/>
      <c r="B10" s="342" t="s">
        <v>38</v>
      </c>
      <c r="C10" s="334"/>
      <c r="D10" s="66" t="s">
        <v>117</v>
      </c>
      <c r="E10" s="290">
        <v>2026</v>
      </c>
      <c r="F10" s="290"/>
      <c r="G10" s="290"/>
      <c r="H10" s="290"/>
      <c r="I10" s="251"/>
      <c r="J10" s="19"/>
      <c r="K10" s="290">
        <v>2027</v>
      </c>
      <c r="L10" s="290"/>
      <c r="M10" s="290"/>
      <c r="N10" s="290"/>
      <c r="O10" s="251"/>
      <c r="P10" s="311"/>
      <c r="Q10" s="290">
        <v>2028</v>
      </c>
      <c r="R10" s="290"/>
      <c r="S10" s="290"/>
      <c r="T10" s="290"/>
      <c r="U10" s="251"/>
      <c r="V10" s="311"/>
      <c r="W10" s="290">
        <v>2029</v>
      </c>
      <c r="X10" s="290"/>
      <c r="Y10" s="290"/>
      <c r="Z10" s="290"/>
      <c r="AA10" s="251"/>
      <c r="AB10" s="19"/>
      <c r="AC10" s="290">
        <v>2030</v>
      </c>
      <c r="AD10" s="290"/>
      <c r="AE10" s="290"/>
      <c r="AF10" s="290"/>
      <c r="AG10" s="251"/>
      <c r="AH10" s="19"/>
    </row>
    <row r="11" spans="1:34" x14ac:dyDescent="0.2">
      <c r="A11" s="65"/>
      <c r="B11" s="342"/>
      <c r="C11" s="334"/>
      <c r="D11" s="67"/>
      <c r="E11" s="290" t="s">
        <v>93</v>
      </c>
      <c r="F11" s="290"/>
      <c r="G11" s="323"/>
      <c r="H11" s="323"/>
      <c r="I11" s="323"/>
      <c r="J11" s="311"/>
      <c r="K11" s="290" t="s">
        <v>93</v>
      </c>
      <c r="L11" s="290"/>
      <c r="M11" s="323"/>
      <c r="N11" s="323"/>
      <c r="O11" s="323"/>
      <c r="P11" s="68"/>
      <c r="Q11" s="290" t="s">
        <v>93</v>
      </c>
      <c r="R11" s="290"/>
      <c r="S11" s="323"/>
      <c r="T11" s="323"/>
      <c r="U11" s="323"/>
      <c r="V11" s="68"/>
      <c r="W11" s="290" t="s">
        <v>93</v>
      </c>
      <c r="X11" s="290"/>
      <c r="Y11" s="323"/>
      <c r="Z11" s="323"/>
      <c r="AA11" s="323"/>
      <c r="AB11" s="68"/>
      <c r="AC11" s="290" t="s">
        <v>93</v>
      </c>
      <c r="AD11" s="290"/>
      <c r="AE11" s="323"/>
      <c r="AF11" s="323"/>
      <c r="AG11" s="323"/>
      <c r="AH11" s="68"/>
    </row>
    <row r="12" spans="1:34" x14ac:dyDescent="0.2">
      <c r="A12" s="65"/>
      <c r="B12" s="342"/>
      <c r="C12" s="334"/>
      <c r="D12" s="67"/>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69">
        <v>0</v>
      </c>
      <c r="B13" s="69">
        <v>1</v>
      </c>
      <c r="C13" s="69">
        <v>2</v>
      </c>
      <c r="D13" s="69">
        <v>3</v>
      </c>
      <c r="E13" s="69" t="s">
        <v>113</v>
      </c>
      <c r="F13" s="69" t="s">
        <v>114</v>
      </c>
      <c r="G13" s="69" t="s">
        <v>115</v>
      </c>
      <c r="H13" s="69" t="s">
        <v>116</v>
      </c>
      <c r="I13" s="69"/>
      <c r="J13" s="69"/>
      <c r="K13" s="69" t="s">
        <v>113</v>
      </c>
      <c r="L13" s="69" t="s">
        <v>114</v>
      </c>
      <c r="M13" s="69" t="s">
        <v>115</v>
      </c>
      <c r="N13" s="69" t="s">
        <v>116</v>
      </c>
      <c r="O13" s="69"/>
      <c r="P13" s="69"/>
      <c r="Q13" s="69" t="s">
        <v>113</v>
      </c>
      <c r="R13" s="69" t="s">
        <v>114</v>
      </c>
      <c r="S13" s="69" t="s">
        <v>115</v>
      </c>
      <c r="T13" s="69" t="s">
        <v>116</v>
      </c>
      <c r="U13" s="69"/>
      <c r="V13" s="69"/>
      <c r="W13" s="69" t="s">
        <v>113</v>
      </c>
      <c r="X13" s="69" t="s">
        <v>114</v>
      </c>
      <c r="Y13" s="69" t="s">
        <v>115</v>
      </c>
      <c r="Z13" s="69" t="s">
        <v>116</v>
      </c>
      <c r="AA13" s="69"/>
      <c r="AB13" s="69"/>
      <c r="AC13" s="69" t="s">
        <v>113</v>
      </c>
      <c r="AD13" s="69" t="s">
        <v>114</v>
      </c>
      <c r="AE13" s="69" t="s">
        <v>115</v>
      </c>
      <c r="AF13" s="69" t="s">
        <v>116</v>
      </c>
      <c r="AG13" s="69"/>
      <c r="AH13" s="69"/>
    </row>
    <row r="14" spans="1:34" ht="10.8" thickBot="1" x14ac:dyDescent="0.25">
      <c r="A14" s="65">
        <v>1.1000000000000001</v>
      </c>
      <c r="B14" s="70" t="s">
        <v>105</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row>
    <row r="15" spans="1:34" ht="15.75" customHeight="1" thickBot="1" x14ac:dyDescent="0.25">
      <c r="A15" s="339"/>
      <c r="B15" s="327" t="s">
        <v>92</v>
      </c>
      <c r="C15" s="315"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339"/>
      <c r="B16" s="327"/>
      <c r="C16" s="315"/>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339"/>
      <c r="B17" s="327"/>
      <c r="C17" s="315"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339"/>
      <c r="B18" s="327"/>
      <c r="C18" s="315"/>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339"/>
      <c r="B19" s="327"/>
      <c r="C19" s="315"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339"/>
      <c r="B20" s="327"/>
      <c r="C20" s="315"/>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339"/>
      <c r="B21" s="327" t="s">
        <v>80</v>
      </c>
      <c r="C21" s="315"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339"/>
      <c r="B22" s="327"/>
      <c r="C22" s="315"/>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339"/>
      <c r="B23" s="327"/>
      <c r="C23" s="315"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339"/>
      <c r="B24" s="327"/>
      <c r="C24" s="315"/>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339"/>
      <c r="B25" s="327"/>
      <c r="C25" s="315"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339"/>
      <c r="B26" s="327"/>
      <c r="C26" s="315"/>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339"/>
      <c r="B27" s="327" t="s">
        <v>81</v>
      </c>
      <c r="C27" s="315"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339"/>
      <c r="B28" s="327"/>
      <c r="C28" s="315"/>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339"/>
      <c r="B29" s="327"/>
      <c r="C29" s="315"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339"/>
      <c r="B30" s="327"/>
      <c r="C30" s="315"/>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339"/>
      <c r="B31" s="327"/>
      <c r="C31" s="315"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339"/>
      <c r="B32" s="327"/>
      <c r="C32" s="315"/>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339"/>
      <c r="B33" s="294" t="s">
        <v>79</v>
      </c>
      <c r="C33" s="315"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339"/>
      <c r="B34" s="294"/>
      <c r="C34" s="315"/>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339"/>
      <c r="B35" s="294"/>
      <c r="C35" s="315"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339"/>
      <c r="B36" s="294"/>
      <c r="C36" s="315"/>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339"/>
      <c r="B37" s="294"/>
      <c r="C37" s="315"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339"/>
      <c r="B38" s="294"/>
      <c r="C38" s="315"/>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65">
        <v>1.2</v>
      </c>
      <c r="B39" s="319" t="s">
        <v>12</v>
      </c>
      <c r="C39" s="320"/>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339"/>
      <c r="B40" s="327" t="s">
        <v>39</v>
      </c>
      <c r="C40" s="327" t="s">
        <v>6</v>
      </c>
      <c r="D40" s="251" t="s">
        <v>78</v>
      </c>
      <c r="E40" s="252">
        <v>1</v>
      </c>
      <c r="F40" s="252">
        <v>1</v>
      </c>
      <c r="G40" s="252">
        <v>1</v>
      </c>
      <c r="H40" s="252">
        <v>1</v>
      </c>
      <c r="I40" s="251"/>
      <c r="J40" s="252">
        <v>1</v>
      </c>
      <c r="K40" s="252">
        <v>1</v>
      </c>
      <c r="L40" s="252">
        <v>1</v>
      </c>
      <c r="M40" s="252">
        <v>1</v>
      </c>
      <c r="N40" s="252">
        <v>1</v>
      </c>
      <c r="O40" s="252">
        <v>1</v>
      </c>
      <c r="P40" s="252">
        <v>1</v>
      </c>
      <c r="Q40" s="252">
        <v>1</v>
      </c>
      <c r="R40" s="252">
        <v>1</v>
      </c>
      <c r="S40" s="252">
        <v>1</v>
      </c>
      <c r="T40" s="252">
        <v>1</v>
      </c>
      <c r="U40" s="19"/>
      <c r="V40" s="252">
        <v>1</v>
      </c>
      <c r="W40" s="23"/>
      <c r="X40" s="23"/>
      <c r="Y40" s="23"/>
      <c r="Z40" s="23"/>
      <c r="AA40" s="19"/>
      <c r="AB40" s="252">
        <v>1</v>
      </c>
      <c r="AC40" s="23"/>
      <c r="AD40" s="23"/>
      <c r="AE40" s="23"/>
      <c r="AF40" s="23"/>
      <c r="AG40" s="19"/>
      <c r="AH40" s="252">
        <v>1</v>
      </c>
    </row>
    <row r="41" spans="1:34" x14ac:dyDescent="0.2">
      <c r="A41" s="339"/>
      <c r="B41" s="327"/>
      <c r="C41" s="327"/>
      <c r="D41" s="251"/>
      <c r="E41" s="252"/>
      <c r="F41" s="252"/>
      <c r="G41" s="252"/>
      <c r="H41" s="252"/>
      <c r="I41" s="251"/>
      <c r="J41" s="252"/>
      <c r="K41" s="252"/>
      <c r="L41" s="252"/>
      <c r="M41" s="252"/>
      <c r="N41" s="252"/>
      <c r="O41" s="252"/>
      <c r="P41" s="252"/>
      <c r="Q41" s="252"/>
      <c r="R41" s="252"/>
      <c r="S41" s="252"/>
      <c r="T41" s="252"/>
      <c r="U41" s="19"/>
      <c r="V41" s="252"/>
      <c r="W41" s="23"/>
      <c r="X41" s="23"/>
      <c r="Y41" s="23"/>
      <c r="Z41" s="23"/>
      <c r="AA41" s="19"/>
      <c r="AB41" s="252"/>
      <c r="AC41" s="23"/>
      <c r="AD41" s="23"/>
      <c r="AE41" s="23"/>
      <c r="AF41" s="23"/>
      <c r="AG41" s="19"/>
      <c r="AH41" s="252"/>
    </row>
    <row r="42" spans="1:34" x14ac:dyDescent="0.2">
      <c r="A42" s="339"/>
      <c r="B42" s="327"/>
      <c r="C42" s="327" t="s">
        <v>7</v>
      </c>
      <c r="D42" s="251" t="s">
        <v>78</v>
      </c>
      <c r="E42" s="252">
        <v>1</v>
      </c>
      <c r="F42" s="252">
        <v>1</v>
      </c>
      <c r="G42" s="252">
        <v>1</v>
      </c>
      <c r="H42" s="252">
        <v>1</v>
      </c>
      <c r="I42" s="251"/>
      <c r="J42" s="252">
        <v>1</v>
      </c>
      <c r="K42" s="252">
        <v>1</v>
      </c>
      <c r="L42" s="252">
        <v>1</v>
      </c>
      <c r="M42" s="252">
        <v>1</v>
      </c>
      <c r="N42" s="252">
        <v>1</v>
      </c>
      <c r="O42" s="252">
        <v>1</v>
      </c>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339"/>
      <c r="B43" s="327"/>
      <c r="C43" s="327"/>
      <c r="D43" s="251"/>
      <c r="E43" s="252"/>
      <c r="F43" s="252"/>
      <c r="G43" s="252"/>
      <c r="H43" s="252"/>
      <c r="I43" s="251"/>
      <c r="J43" s="252"/>
      <c r="K43" s="252"/>
      <c r="L43" s="252"/>
      <c r="M43" s="252"/>
      <c r="N43" s="252"/>
      <c r="O43" s="252"/>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339"/>
      <c r="B44" s="327"/>
      <c r="C44" s="327" t="s">
        <v>8</v>
      </c>
      <c r="D44" s="251" t="s">
        <v>78</v>
      </c>
      <c r="E44" s="252">
        <v>1</v>
      </c>
      <c r="F44" s="252">
        <v>1</v>
      </c>
      <c r="G44" s="252">
        <v>1</v>
      </c>
      <c r="H44" s="252">
        <v>1</v>
      </c>
      <c r="I44" s="251"/>
      <c r="J44" s="252">
        <v>1</v>
      </c>
      <c r="K44" s="252">
        <v>1</v>
      </c>
      <c r="L44" s="252">
        <v>1</v>
      </c>
      <c r="M44" s="252">
        <v>1</v>
      </c>
      <c r="N44" s="252">
        <v>1</v>
      </c>
      <c r="O44" s="252">
        <v>1</v>
      </c>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339"/>
      <c r="B45" s="327"/>
      <c r="C45" s="327"/>
      <c r="D45" s="251"/>
      <c r="E45" s="252"/>
      <c r="F45" s="252"/>
      <c r="G45" s="252"/>
      <c r="H45" s="252"/>
      <c r="I45" s="251"/>
      <c r="J45" s="252"/>
      <c r="K45" s="252"/>
      <c r="L45" s="252"/>
      <c r="M45" s="252"/>
      <c r="N45" s="252"/>
      <c r="O45" s="252"/>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339"/>
      <c r="B46" s="327" t="s">
        <v>0</v>
      </c>
      <c r="C46" s="327" t="s">
        <v>6</v>
      </c>
      <c r="D46" s="251" t="s">
        <v>78</v>
      </c>
      <c r="E46" s="252">
        <v>1</v>
      </c>
      <c r="F46" s="252">
        <v>1</v>
      </c>
      <c r="G46" s="252">
        <v>1</v>
      </c>
      <c r="H46" s="252">
        <v>1</v>
      </c>
      <c r="I46" s="251"/>
      <c r="J46" s="252">
        <v>1</v>
      </c>
      <c r="K46" s="252">
        <v>1</v>
      </c>
      <c r="L46" s="252">
        <v>1</v>
      </c>
      <c r="M46" s="252">
        <v>1</v>
      </c>
      <c r="N46" s="252">
        <v>1</v>
      </c>
      <c r="O46" s="252">
        <v>1</v>
      </c>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339"/>
      <c r="B47" s="327"/>
      <c r="C47" s="327"/>
      <c r="D47" s="251"/>
      <c r="E47" s="252"/>
      <c r="F47" s="252"/>
      <c r="G47" s="252"/>
      <c r="H47" s="252"/>
      <c r="I47" s="251"/>
      <c r="J47" s="252"/>
      <c r="K47" s="252"/>
      <c r="L47" s="252"/>
      <c r="M47" s="252"/>
      <c r="N47" s="252"/>
      <c r="O47" s="252"/>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339"/>
      <c r="B48" s="327"/>
      <c r="C48" s="327" t="s">
        <v>7</v>
      </c>
      <c r="D48" s="251" t="s">
        <v>78</v>
      </c>
      <c r="E48" s="252">
        <v>1</v>
      </c>
      <c r="F48" s="252">
        <v>1</v>
      </c>
      <c r="G48" s="252">
        <v>1</v>
      </c>
      <c r="H48" s="252">
        <v>1</v>
      </c>
      <c r="I48" s="251"/>
      <c r="J48" s="252">
        <v>1</v>
      </c>
      <c r="K48" s="252">
        <v>1</v>
      </c>
      <c r="L48" s="252">
        <v>1</v>
      </c>
      <c r="M48" s="252">
        <v>1</v>
      </c>
      <c r="N48" s="252">
        <v>1</v>
      </c>
      <c r="O48" s="252">
        <v>1</v>
      </c>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339"/>
      <c r="B49" s="327"/>
      <c r="C49" s="327"/>
      <c r="D49" s="251"/>
      <c r="E49" s="252"/>
      <c r="F49" s="252"/>
      <c r="G49" s="252"/>
      <c r="H49" s="252"/>
      <c r="I49" s="251"/>
      <c r="J49" s="252"/>
      <c r="K49" s="252"/>
      <c r="L49" s="252"/>
      <c r="M49" s="252"/>
      <c r="N49" s="252"/>
      <c r="O49" s="252"/>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339"/>
      <c r="B50" s="327"/>
      <c r="C50" s="327" t="s">
        <v>8</v>
      </c>
      <c r="D50" s="251" t="s">
        <v>78</v>
      </c>
      <c r="E50" s="252">
        <v>1</v>
      </c>
      <c r="F50" s="252">
        <v>1</v>
      </c>
      <c r="G50" s="252">
        <v>1</v>
      </c>
      <c r="H50" s="252">
        <v>1</v>
      </c>
      <c r="I50" s="251"/>
      <c r="J50" s="252">
        <v>1</v>
      </c>
      <c r="K50" s="252">
        <v>1</v>
      </c>
      <c r="L50" s="252">
        <v>1</v>
      </c>
      <c r="M50" s="252">
        <v>1</v>
      </c>
      <c r="N50" s="252">
        <v>1</v>
      </c>
      <c r="O50" s="252">
        <v>1</v>
      </c>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339"/>
      <c r="B51" s="327"/>
      <c r="C51" s="327"/>
      <c r="D51" s="251"/>
      <c r="E51" s="252"/>
      <c r="F51" s="252"/>
      <c r="G51" s="252"/>
      <c r="H51" s="252"/>
      <c r="I51" s="251"/>
      <c r="J51" s="252"/>
      <c r="K51" s="252"/>
      <c r="L51" s="252"/>
      <c r="M51" s="252"/>
      <c r="N51" s="252"/>
      <c r="O51" s="252"/>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339"/>
      <c r="B52" s="327" t="s">
        <v>40</v>
      </c>
      <c r="C52" s="331" t="s">
        <v>6</v>
      </c>
      <c r="D52" s="251" t="s">
        <v>78</v>
      </c>
      <c r="E52" s="252">
        <v>1</v>
      </c>
      <c r="F52" s="252">
        <v>1</v>
      </c>
      <c r="G52" s="252">
        <v>1</v>
      </c>
      <c r="H52" s="252">
        <v>1</v>
      </c>
      <c r="I52" s="251"/>
      <c r="J52" s="252">
        <v>1</v>
      </c>
      <c r="K52" s="252">
        <v>1</v>
      </c>
      <c r="L52" s="252">
        <v>1</v>
      </c>
      <c r="M52" s="252">
        <v>1</v>
      </c>
      <c r="N52" s="252">
        <v>1</v>
      </c>
      <c r="O52" s="252">
        <v>1</v>
      </c>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339"/>
      <c r="B53" s="327"/>
      <c r="C53" s="331"/>
      <c r="D53" s="251"/>
      <c r="E53" s="252"/>
      <c r="F53" s="252"/>
      <c r="G53" s="252"/>
      <c r="H53" s="252"/>
      <c r="I53" s="251"/>
      <c r="J53" s="252"/>
      <c r="K53" s="252"/>
      <c r="L53" s="252"/>
      <c r="M53" s="252"/>
      <c r="N53" s="252"/>
      <c r="O53" s="252"/>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339"/>
      <c r="B54" s="327"/>
      <c r="C54" s="331" t="s">
        <v>7</v>
      </c>
      <c r="D54" s="251" t="s">
        <v>78</v>
      </c>
      <c r="E54" s="252">
        <v>1</v>
      </c>
      <c r="F54" s="252">
        <v>1</v>
      </c>
      <c r="G54" s="252">
        <v>1</v>
      </c>
      <c r="H54" s="252">
        <v>1</v>
      </c>
      <c r="I54" s="251"/>
      <c r="J54" s="252">
        <v>1</v>
      </c>
      <c r="K54" s="252">
        <v>1</v>
      </c>
      <c r="L54" s="252">
        <v>1</v>
      </c>
      <c r="M54" s="252">
        <v>1</v>
      </c>
      <c r="N54" s="252">
        <v>1</v>
      </c>
      <c r="O54" s="252">
        <v>1</v>
      </c>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339"/>
      <c r="B55" s="327"/>
      <c r="C55" s="331"/>
      <c r="D55" s="251"/>
      <c r="E55" s="252"/>
      <c r="F55" s="252"/>
      <c r="G55" s="252"/>
      <c r="H55" s="252"/>
      <c r="I55" s="251"/>
      <c r="J55" s="252"/>
      <c r="K55" s="252"/>
      <c r="L55" s="252"/>
      <c r="M55" s="252"/>
      <c r="N55" s="252"/>
      <c r="O55" s="252"/>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339"/>
      <c r="B56" s="327"/>
      <c r="C56" s="331" t="s">
        <v>8</v>
      </c>
      <c r="D56" s="251" t="s">
        <v>78</v>
      </c>
      <c r="E56" s="252">
        <v>1</v>
      </c>
      <c r="F56" s="252">
        <v>1</v>
      </c>
      <c r="G56" s="252">
        <v>1</v>
      </c>
      <c r="H56" s="252">
        <v>1</v>
      </c>
      <c r="I56" s="251"/>
      <c r="J56" s="252">
        <v>1</v>
      </c>
      <c r="K56" s="252">
        <v>1</v>
      </c>
      <c r="L56" s="252">
        <v>1</v>
      </c>
      <c r="M56" s="252">
        <v>1</v>
      </c>
      <c r="N56" s="252">
        <v>1</v>
      </c>
      <c r="O56" s="252">
        <v>1</v>
      </c>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339"/>
      <c r="B57" s="327"/>
      <c r="C57" s="331"/>
      <c r="D57" s="251"/>
      <c r="E57" s="252"/>
      <c r="F57" s="252"/>
      <c r="G57" s="252"/>
      <c r="H57" s="252"/>
      <c r="I57" s="251"/>
      <c r="J57" s="252"/>
      <c r="K57" s="252"/>
      <c r="L57" s="252"/>
      <c r="M57" s="252"/>
      <c r="N57" s="252"/>
      <c r="O57" s="252"/>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19" t="s">
        <v>13</v>
      </c>
      <c r="C58" s="320"/>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339"/>
      <c r="B59" s="327" t="s">
        <v>77</v>
      </c>
      <c r="C59" s="327"/>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339"/>
      <c r="B60" s="327"/>
      <c r="C60" s="327"/>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339"/>
      <c r="B61" s="327" t="s">
        <v>118</v>
      </c>
      <c r="C61" s="327"/>
      <c r="D61" s="251" t="s">
        <v>78</v>
      </c>
      <c r="E61" s="252">
        <v>0.4</v>
      </c>
      <c r="F61" s="252">
        <v>0.4</v>
      </c>
      <c r="G61" s="252">
        <v>0.4</v>
      </c>
      <c r="H61" s="252">
        <v>0.4</v>
      </c>
      <c r="I61" s="251"/>
      <c r="J61" s="252">
        <v>0.4</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29.25" customHeight="1" x14ac:dyDescent="0.2">
      <c r="A62" s="339"/>
      <c r="B62" s="327"/>
      <c r="C62" s="327"/>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32.25" customHeight="1" x14ac:dyDescent="0.2">
      <c r="A63" s="339"/>
      <c r="B63" s="327" t="s">
        <v>120</v>
      </c>
      <c r="C63" s="327"/>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6.25" customHeight="1" x14ac:dyDescent="0.2">
      <c r="A64" s="339"/>
      <c r="B64" s="350"/>
      <c r="C64" s="350"/>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339"/>
      <c r="B65" s="327" t="s">
        <v>14</v>
      </c>
      <c r="C65" s="327"/>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339"/>
      <c r="B66" s="327"/>
      <c r="C66" s="327"/>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339"/>
      <c r="B67" s="331" t="s">
        <v>111</v>
      </c>
      <c r="C67" s="331"/>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339"/>
      <c r="B68" s="331"/>
      <c r="C68" s="331"/>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339"/>
      <c r="B69" s="327" t="s">
        <v>15</v>
      </c>
      <c r="C69" s="327"/>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339"/>
      <c r="B70" s="327"/>
      <c r="C70" s="327"/>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306"/>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306"/>
      <c r="B72" s="287"/>
      <c r="C72" s="287"/>
      <c r="D72" s="295"/>
      <c r="E72" s="313"/>
      <c r="F72" s="313"/>
      <c r="G72" s="313"/>
      <c r="H72" s="313"/>
      <c r="I72" s="19"/>
      <c r="J72" s="313"/>
      <c r="K72" s="313"/>
      <c r="L72" s="313"/>
      <c r="M72" s="313"/>
      <c r="N72" s="313"/>
      <c r="O72" s="19"/>
      <c r="P72" s="313"/>
      <c r="Q72" s="313"/>
      <c r="R72" s="313"/>
      <c r="S72" s="313"/>
      <c r="T72" s="313"/>
      <c r="U72" s="19"/>
      <c r="V72" s="313"/>
      <c r="W72" s="313"/>
      <c r="X72" s="313"/>
      <c r="Y72" s="313"/>
      <c r="Z72" s="313"/>
      <c r="AA72" s="19"/>
      <c r="AB72" s="313"/>
      <c r="AC72" s="313"/>
      <c r="AD72" s="313"/>
      <c r="AE72" s="313"/>
      <c r="AF72" s="313"/>
      <c r="AG72" s="19"/>
      <c r="AH72" s="313"/>
    </row>
    <row r="73" spans="1:34" x14ac:dyDescent="0.2">
      <c r="A73" s="65">
        <v>1.4</v>
      </c>
      <c r="B73" s="319" t="s">
        <v>16</v>
      </c>
      <c r="C73" s="320"/>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339"/>
      <c r="B74" s="327" t="s">
        <v>17</v>
      </c>
      <c r="C74" s="327"/>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339"/>
      <c r="B75" s="327"/>
      <c r="C75" s="327"/>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339"/>
      <c r="B76" s="344" t="s">
        <v>82</v>
      </c>
      <c r="C76" s="344"/>
      <c r="D76" s="71"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339"/>
      <c r="B77" s="344" t="s">
        <v>83</v>
      </c>
      <c r="C77" s="344"/>
      <c r="D77" s="71"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339"/>
      <c r="B78" s="327" t="s">
        <v>18</v>
      </c>
      <c r="C78" s="327"/>
      <c r="D78" s="314"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339"/>
      <c r="B79" s="327"/>
      <c r="C79" s="327"/>
      <c r="D79" s="31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65">
        <v>1.5</v>
      </c>
      <c r="B80" s="319" t="s">
        <v>19</v>
      </c>
      <c r="C80" s="320"/>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72" t="s">
        <v>41</v>
      </c>
      <c r="B81" s="337" t="s">
        <v>20</v>
      </c>
      <c r="C81" s="337"/>
      <c r="D81" s="70"/>
      <c r="E81" s="70"/>
      <c r="F81" s="70"/>
      <c r="G81" s="70"/>
      <c r="H81" s="70"/>
      <c r="I81" s="50"/>
      <c r="J81" s="50"/>
      <c r="K81" s="70"/>
      <c r="L81" s="70"/>
      <c r="M81" s="70"/>
      <c r="N81" s="70"/>
      <c r="O81" s="50"/>
      <c r="P81" s="50"/>
      <c r="Q81" s="70"/>
      <c r="R81" s="70"/>
      <c r="S81" s="70"/>
      <c r="T81" s="70"/>
      <c r="U81" s="50"/>
      <c r="V81" s="50"/>
      <c r="W81" s="70"/>
      <c r="X81" s="70"/>
      <c r="Y81" s="70"/>
      <c r="Z81" s="70"/>
      <c r="AA81" s="50"/>
      <c r="AB81" s="50"/>
      <c r="AC81" s="70"/>
      <c r="AD81" s="70"/>
      <c r="AE81" s="70"/>
      <c r="AF81" s="70"/>
      <c r="AG81" s="50"/>
      <c r="AH81" s="50"/>
    </row>
    <row r="82" spans="1:34" ht="42.6" customHeight="1" x14ac:dyDescent="0.2">
      <c r="A82" s="339"/>
      <c r="B82" s="73" t="s">
        <v>95</v>
      </c>
      <c r="C82" s="74"/>
      <c r="D82" s="75" t="s">
        <v>135</v>
      </c>
      <c r="E82" s="92">
        <v>37</v>
      </c>
      <c r="F82" s="92">
        <v>37</v>
      </c>
      <c r="G82" s="92">
        <v>37</v>
      </c>
      <c r="H82" s="92">
        <v>39</v>
      </c>
      <c r="I82" s="92"/>
      <c r="J82" s="92">
        <v>150</v>
      </c>
      <c r="K82" s="76">
        <v>35</v>
      </c>
      <c r="L82" s="76">
        <v>35</v>
      </c>
      <c r="M82" s="76">
        <v>35</v>
      </c>
      <c r="N82" s="76">
        <v>35</v>
      </c>
      <c r="O82" s="76"/>
      <c r="P82" s="92">
        <v>140</v>
      </c>
      <c r="Q82" s="76">
        <v>32</v>
      </c>
      <c r="R82" s="76">
        <v>32</v>
      </c>
      <c r="S82" s="76">
        <v>32</v>
      </c>
      <c r="T82" s="76">
        <v>34</v>
      </c>
      <c r="U82" s="92"/>
      <c r="V82" s="92">
        <v>130</v>
      </c>
      <c r="W82" s="76">
        <v>30</v>
      </c>
      <c r="X82" s="76">
        <v>30</v>
      </c>
      <c r="Y82" s="76">
        <v>30</v>
      </c>
      <c r="Z82" s="76">
        <v>30</v>
      </c>
      <c r="AA82" s="76"/>
      <c r="AB82" s="92">
        <v>120</v>
      </c>
      <c r="AC82" s="76">
        <v>25</v>
      </c>
      <c r="AD82" s="76">
        <v>25</v>
      </c>
      <c r="AE82" s="76">
        <v>25</v>
      </c>
      <c r="AF82" s="76">
        <v>25</v>
      </c>
      <c r="AG82" s="92"/>
      <c r="AH82" s="92">
        <v>100</v>
      </c>
    </row>
    <row r="83" spans="1:34" ht="15.75" customHeight="1" x14ac:dyDescent="0.2">
      <c r="A83" s="339"/>
      <c r="B83" s="327" t="s">
        <v>84</v>
      </c>
      <c r="C83" s="315" t="s">
        <v>6</v>
      </c>
      <c r="D83" s="314"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339"/>
      <c r="B84" s="327"/>
      <c r="C84" s="315"/>
      <c r="D84" s="31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339"/>
      <c r="B85" s="327"/>
      <c r="C85" s="315" t="s">
        <v>7</v>
      </c>
      <c r="D85" s="314"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339"/>
      <c r="B86" s="327"/>
      <c r="C86" s="315"/>
      <c r="D86" s="31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339"/>
      <c r="B87" s="327"/>
      <c r="C87" s="315" t="s">
        <v>8</v>
      </c>
      <c r="D87" s="314"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339"/>
      <c r="B88" s="327"/>
      <c r="C88" s="315"/>
      <c r="D88" s="31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339"/>
      <c r="B89" s="327" t="s">
        <v>96</v>
      </c>
      <c r="C89" s="315" t="s">
        <v>6</v>
      </c>
      <c r="D89" s="314"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339"/>
      <c r="B90" s="336"/>
      <c r="C90" s="306"/>
      <c r="D90" s="31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339"/>
      <c r="B91" s="336"/>
      <c r="C91" s="315" t="s">
        <v>7</v>
      </c>
      <c r="D91" s="314"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339"/>
      <c r="B92" s="336"/>
      <c r="C92" s="306"/>
      <c r="D92" s="31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339"/>
      <c r="B93" s="336"/>
      <c r="C93" s="315" t="s">
        <v>8</v>
      </c>
      <c r="D93" s="314"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339"/>
      <c r="B94" s="336"/>
      <c r="C94" s="306"/>
      <c r="D94" s="31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339"/>
      <c r="B95" s="327" t="s">
        <v>97</v>
      </c>
      <c r="C95" s="336"/>
      <c r="D95" s="75" t="s">
        <v>135</v>
      </c>
      <c r="E95" s="54">
        <v>33</v>
      </c>
      <c r="F95" s="54">
        <v>33</v>
      </c>
      <c r="G95" s="54">
        <v>33</v>
      </c>
      <c r="H95" s="54">
        <v>36</v>
      </c>
      <c r="I95" s="55"/>
      <c r="J95" s="55">
        <v>135</v>
      </c>
      <c r="K95" s="55">
        <v>32</v>
      </c>
      <c r="L95" s="55">
        <v>32</v>
      </c>
      <c r="M95" s="55">
        <v>32</v>
      </c>
      <c r="N95" s="55">
        <v>34</v>
      </c>
      <c r="O95" s="55"/>
      <c r="P95" s="55">
        <v>130</v>
      </c>
      <c r="Q95" s="54">
        <v>31</v>
      </c>
      <c r="R95" s="54">
        <v>31</v>
      </c>
      <c r="S95" s="54">
        <v>31</v>
      </c>
      <c r="T95" s="54">
        <v>32</v>
      </c>
      <c r="U95" s="55"/>
      <c r="V95" s="55">
        <v>125</v>
      </c>
      <c r="W95" s="54">
        <v>30</v>
      </c>
      <c r="X95" s="54">
        <v>30</v>
      </c>
      <c r="Y95" s="54">
        <v>30</v>
      </c>
      <c r="Z95" s="54">
        <v>30</v>
      </c>
      <c r="AA95" s="54"/>
      <c r="AB95" s="55">
        <v>120</v>
      </c>
      <c r="AC95" s="54">
        <v>27</v>
      </c>
      <c r="AD95" s="54">
        <v>27</v>
      </c>
      <c r="AE95" s="54">
        <v>27</v>
      </c>
      <c r="AF95" s="54">
        <v>29</v>
      </c>
      <c r="AG95" s="55"/>
      <c r="AH95" s="55">
        <v>110</v>
      </c>
    </row>
    <row r="96" spans="1:34" ht="15.75" customHeight="1" x14ac:dyDescent="0.2">
      <c r="A96" s="339"/>
      <c r="B96" s="327" t="s">
        <v>85</v>
      </c>
      <c r="C96" s="315" t="s">
        <v>6</v>
      </c>
      <c r="D96" s="314"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339"/>
      <c r="B97" s="327"/>
      <c r="C97" s="315"/>
      <c r="D97" s="31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339"/>
      <c r="B98" s="327"/>
      <c r="C98" s="315" t="s">
        <v>7</v>
      </c>
      <c r="D98" s="314"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339"/>
      <c r="B99" s="327"/>
      <c r="C99" s="315"/>
      <c r="D99" s="31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339"/>
      <c r="B100" s="327"/>
      <c r="C100" s="315" t="s">
        <v>8</v>
      </c>
      <c r="D100" s="314"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339"/>
      <c r="B101" s="327"/>
      <c r="C101" s="315"/>
      <c r="D101" s="31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339"/>
      <c r="B102" s="327" t="s">
        <v>98</v>
      </c>
      <c r="C102" s="315" t="s">
        <v>6</v>
      </c>
      <c r="D102" s="314"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339"/>
      <c r="B103" s="306"/>
      <c r="C103" s="306"/>
      <c r="D103" s="31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339"/>
      <c r="B104" s="306"/>
      <c r="C104" s="315" t="s">
        <v>7</v>
      </c>
      <c r="D104" s="314"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339"/>
      <c r="B105" s="306"/>
      <c r="C105" s="306"/>
      <c r="D105" s="31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339"/>
      <c r="B106" s="306"/>
      <c r="C106" s="315" t="s">
        <v>8</v>
      </c>
      <c r="D106" s="314"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339"/>
      <c r="B107" s="306"/>
      <c r="C107" s="306"/>
      <c r="D107" s="31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65" t="s">
        <v>21</v>
      </c>
      <c r="B108" s="337" t="s">
        <v>22</v>
      </c>
      <c r="C108" s="33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row>
    <row r="109" spans="1:34" x14ac:dyDescent="0.2">
      <c r="A109" s="315"/>
      <c r="B109" s="344" t="s">
        <v>23</v>
      </c>
      <c r="C109" s="344"/>
      <c r="D109" s="75" t="s">
        <v>135</v>
      </c>
      <c r="E109" s="23">
        <v>100</v>
      </c>
      <c r="F109" s="23">
        <v>100</v>
      </c>
      <c r="G109" s="23">
        <v>100</v>
      </c>
      <c r="H109" s="23">
        <v>100</v>
      </c>
      <c r="I109" s="26"/>
      <c r="J109" s="41">
        <v>400</v>
      </c>
      <c r="K109" s="23">
        <v>100</v>
      </c>
      <c r="L109" s="23">
        <v>100</v>
      </c>
      <c r="M109" s="23">
        <v>100</v>
      </c>
      <c r="N109" s="23">
        <v>100</v>
      </c>
      <c r="O109" s="26"/>
      <c r="P109" s="41">
        <v>400</v>
      </c>
      <c r="Q109" s="23">
        <v>100</v>
      </c>
      <c r="R109" s="23">
        <v>100</v>
      </c>
      <c r="S109" s="23">
        <v>100</v>
      </c>
      <c r="T109" s="23">
        <v>100</v>
      </c>
      <c r="U109" s="26"/>
      <c r="V109" s="41">
        <v>400</v>
      </c>
      <c r="W109" s="23">
        <v>100</v>
      </c>
      <c r="X109" s="23">
        <v>100</v>
      </c>
      <c r="Y109" s="23">
        <v>100</v>
      </c>
      <c r="Z109" s="23">
        <v>100</v>
      </c>
      <c r="AA109" s="26"/>
      <c r="AB109" s="41">
        <v>400</v>
      </c>
      <c r="AC109" s="23">
        <v>100</v>
      </c>
      <c r="AD109" s="23">
        <v>100</v>
      </c>
      <c r="AE109" s="23">
        <v>100</v>
      </c>
      <c r="AF109" s="23">
        <v>100</v>
      </c>
      <c r="AG109" s="26"/>
      <c r="AH109" s="41">
        <v>100</v>
      </c>
    </row>
    <row r="110" spans="1:34" x14ac:dyDescent="0.2">
      <c r="A110" s="315"/>
      <c r="B110" s="327" t="s">
        <v>99</v>
      </c>
      <c r="C110" s="329"/>
      <c r="D110" s="314"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315"/>
      <c r="B111" s="329"/>
      <c r="C111" s="329"/>
      <c r="D111" s="31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315"/>
      <c r="B112" s="327" t="s">
        <v>136</v>
      </c>
      <c r="C112" s="315" t="s">
        <v>6</v>
      </c>
      <c r="D112" s="314"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x14ac:dyDescent="0.2">
      <c r="A113" s="315"/>
      <c r="B113" s="327"/>
      <c r="C113" s="315"/>
      <c r="D113" s="31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315"/>
      <c r="B114" s="327"/>
      <c r="C114" s="315" t="s">
        <v>7</v>
      </c>
      <c r="D114" s="314"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315"/>
      <c r="B115" s="327"/>
      <c r="C115" s="315"/>
      <c r="D115" s="31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315"/>
      <c r="B116" s="327"/>
      <c r="C116" s="315" t="s">
        <v>8</v>
      </c>
      <c r="D116" s="314"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315"/>
      <c r="B117" s="327"/>
      <c r="C117" s="315"/>
      <c r="D117" s="31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315"/>
      <c r="B118" s="327" t="s">
        <v>86</v>
      </c>
      <c r="C118" s="315" t="s">
        <v>6</v>
      </c>
      <c r="D118" s="314"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x14ac:dyDescent="0.2">
      <c r="A119" s="315"/>
      <c r="B119" s="327"/>
      <c r="C119" s="315"/>
      <c r="D119" s="31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x14ac:dyDescent="0.2">
      <c r="A120" s="315"/>
      <c r="B120" s="327"/>
      <c r="C120" s="315" t="s">
        <v>7</v>
      </c>
      <c r="D120" s="314"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x14ac:dyDescent="0.2">
      <c r="A121" s="315"/>
      <c r="B121" s="327"/>
      <c r="C121" s="315"/>
      <c r="D121" s="31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x14ac:dyDescent="0.2">
      <c r="A122" s="315"/>
      <c r="B122" s="327"/>
      <c r="C122" s="315" t="s">
        <v>8</v>
      </c>
      <c r="D122" s="314"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x14ac:dyDescent="0.2">
      <c r="A123" s="315"/>
      <c r="B123" s="327"/>
      <c r="C123" s="315"/>
      <c r="D123" s="31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36" customHeight="1" x14ac:dyDescent="0.2">
      <c r="A124" s="65" t="s">
        <v>24</v>
      </c>
      <c r="B124" s="317" t="s">
        <v>25</v>
      </c>
      <c r="C124" s="318"/>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339"/>
      <c r="B125" s="327" t="s">
        <v>137</v>
      </c>
      <c r="C125" s="315" t="s">
        <v>26</v>
      </c>
      <c r="D125" s="314" t="s">
        <v>78</v>
      </c>
      <c r="E125" s="27">
        <v>5.0000000000000001E-3</v>
      </c>
      <c r="F125" s="27">
        <v>5.0000000000000001E-3</v>
      </c>
      <c r="G125" s="27">
        <v>5.0000000000000001E-3</v>
      </c>
      <c r="H125" s="27">
        <v>5.0000000000000001E-3</v>
      </c>
      <c r="I125" s="26"/>
      <c r="J125" s="27">
        <v>5.0000000000000001E-3</v>
      </c>
      <c r="K125" s="27">
        <v>5.0000000000000001E-3</v>
      </c>
      <c r="L125" s="27">
        <v>5.0000000000000001E-3</v>
      </c>
      <c r="M125" s="27">
        <v>5.0000000000000001E-3</v>
      </c>
      <c r="N125" s="27">
        <v>5.0000000000000001E-3</v>
      </c>
      <c r="O125" s="26"/>
      <c r="P125" s="27">
        <v>5.0000000000000001E-3</v>
      </c>
      <c r="Q125" s="27">
        <v>5.0000000000000001E-3</v>
      </c>
      <c r="R125" s="27">
        <v>5.0000000000000001E-3</v>
      </c>
      <c r="S125" s="27">
        <v>5.0000000000000001E-3</v>
      </c>
      <c r="T125" s="27">
        <v>5.0000000000000001E-3</v>
      </c>
      <c r="U125" s="26"/>
      <c r="V125" s="27">
        <v>5.0000000000000001E-3</v>
      </c>
      <c r="W125" s="27">
        <v>5.0000000000000001E-3</v>
      </c>
      <c r="X125" s="27">
        <v>5.0000000000000001E-3</v>
      </c>
      <c r="Y125" s="27">
        <v>5.0000000000000001E-3</v>
      </c>
      <c r="Z125" s="27">
        <v>5.0000000000000001E-3</v>
      </c>
      <c r="AA125" s="26"/>
      <c r="AB125" s="27">
        <v>5.0000000000000001E-3</v>
      </c>
      <c r="AC125" s="27">
        <v>5.0000000000000001E-3</v>
      </c>
      <c r="AD125" s="27">
        <v>5.0000000000000001E-3</v>
      </c>
      <c r="AE125" s="27">
        <v>5.0000000000000001E-3</v>
      </c>
      <c r="AF125" s="27">
        <v>5.0000000000000001E-3</v>
      </c>
      <c r="AG125" s="26"/>
      <c r="AH125" s="27">
        <v>5.0000000000000001E-3</v>
      </c>
    </row>
    <row r="126" spans="1:34" x14ac:dyDescent="0.2">
      <c r="A126" s="339"/>
      <c r="B126" s="327"/>
      <c r="C126" s="315"/>
      <c r="D126" s="311"/>
      <c r="E126" s="27"/>
      <c r="F126" s="27"/>
      <c r="G126" s="27"/>
      <c r="H126" s="27"/>
      <c r="I126" s="26"/>
      <c r="J126" s="27"/>
      <c r="K126" s="27"/>
      <c r="L126" s="27"/>
      <c r="M126" s="27"/>
      <c r="N126" s="27"/>
      <c r="O126" s="26"/>
      <c r="P126" s="27"/>
      <c r="Q126" s="27"/>
      <c r="R126" s="27"/>
      <c r="S126" s="27"/>
      <c r="T126" s="27"/>
      <c r="U126" s="26"/>
      <c r="V126" s="27"/>
      <c r="W126" s="27"/>
      <c r="X126" s="27"/>
      <c r="Y126" s="27"/>
      <c r="Z126" s="27"/>
      <c r="AA126" s="26"/>
      <c r="AB126" s="27"/>
      <c r="AC126" s="27"/>
      <c r="AD126" s="27"/>
      <c r="AE126" s="27"/>
      <c r="AF126" s="27"/>
      <c r="AG126" s="26"/>
      <c r="AH126" s="27"/>
    </row>
    <row r="127" spans="1:34" ht="15.75" customHeight="1" x14ac:dyDescent="0.2">
      <c r="A127" s="339"/>
      <c r="B127" s="327"/>
      <c r="C127" s="315" t="s">
        <v>7</v>
      </c>
      <c r="D127" s="314"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339"/>
      <c r="B128" s="327"/>
      <c r="C128" s="315"/>
      <c r="D128" s="31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339"/>
      <c r="B129" s="327"/>
      <c r="C129" s="315" t="s">
        <v>8</v>
      </c>
      <c r="D129" s="314"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339"/>
      <c r="B130" s="327"/>
      <c r="C130" s="315"/>
      <c r="D130" s="31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339"/>
      <c r="B131" s="327" t="s">
        <v>138</v>
      </c>
      <c r="C131" s="315" t="s">
        <v>26</v>
      </c>
      <c r="D131" s="314" t="s">
        <v>78</v>
      </c>
      <c r="E131" s="254">
        <v>4.0000000000000001E-3</v>
      </c>
      <c r="F131" s="254">
        <v>4.0000000000000001E-3</v>
      </c>
      <c r="G131" s="254">
        <v>4.0000000000000001E-3</v>
      </c>
      <c r="H131" s="254">
        <v>4.0000000000000001E-3</v>
      </c>
      <c r="I131" s="26"/>
      <c r="J131" s="254">
        <v>4.0000000000000001E-3</v>
      </c>
      <c r="K131" s="254">
        <v>4.0000000000000001E-3</v>
      </c>
      <c r="L131" s="254">
        <v>4.0000000000000001E-3</v>
      </c>
      <c r="M131" s="254">
        <v>4.0000000000000001E-3</v>
      </c>
      <c r="N131" s="254">
        <v>4.0000000000000001E-3</v>
      </c>
      <c r="O131" s="26"/>
      <c r="P131" s="254">
        <v>4.0000000000000001E-3</v>
      </c>
      <c r="Q131" s="254">
        <v>4.0000000000000001E-3</v>
      </c>
      <c r="R131" s="254">
        <v>4.0000000000000001E-3</v>
      </c>
      <c r="S131" s="254">
        <v>4.0000000000000001E-3</v>
      </c>
      <c r="T131" s="254">
        <v>4.0000000000000001E-3</v>
      </c>
      <c r="U131" s="26"/>
      <c r="V131" s="254">
        <v>4.0000000000000001E-3</v>
      </c>
      <c r="W131" s="254">
        <v>4.0000000000000001E-3</v>
      </c>
      <c r="X131" s="254">
        <v>4.0000000000000001E-3</v>
      </c>
      <c r="Y131" s="254">
        <v>4.0000000000000001E-3</v>
      </c>
      <c r="Z131" s="254">
        <v>4.0000000000000001E-3</v>
      </c>
      <c r="AA131" s="26"/>
      <c r="AB131" s="254">
        <v>4.0000000000000001E-3</v>
      </c>
      <c r="AC131" s="254">
        <v>4.0000000000000001E-3</v>
      </c>
      <c r="AD131" s="254">
        <v>4.0000000000000001E-3</v>
      </c>
      <c r="AE131" s="254">
        <v>4.0000000000000001E-3</v>
      </c>
      <c r="AF131" s="254">
        <v>4.0000000000000001E-3</v>
      </c>
      <c r="AG131" s="26"/>
      <c r="AH131" s="254">
        <v>4.0000000000000001E-3</v>
      </c>
    </row>
    <row r="132" spans="1:34" ht="15.75" customHeight="1" x14ac:dyDescent="0.2">
      <c r="A132" s="339"/>
      <c r="B132" s="327"/>
      <c r="C132" s="315"/>
      <c r="D132" s="31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339"/>
      <c r="B133" s="327"/>
      <c r="C133" s="315" t="s">
        <v>7</v>
      </c>
      <c r="D133" s="314"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339"/>
      <c r="B134" s="327"/>
      <c r="C134" s="315"/>
      <c r="D134" s="31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339"/>
      <c r="B135" s="327"/>
      <c r="C135" s="315" t="s">
        <v>8</v>
      </c>
      <c r="D135" s="314" t="s">
        <v>78</v>
      </c>
      <c r="E135" s="254">
        <v>8.0000000000000002E-3</v>
      </c>
      <c r="F135" s="254">
        <v>8.0000000000000002E-3</v>
      </c>
      <c r="G135" s="254">
        <v>8.0000000000000002E-3</v>
      </c>
      <c r="H135" s="254">
        <v>8.0000000000000002E-3</v>
      </c>
      <c r="I135" s="26"/>
      <c r="J135" s="254">
        <v>8.0000000000000002E-3</v>
      </c>
      <c r="K135" s="254">
        <v>8.0000000000000002E-3</v>
      </c>
      <c r="L135" s="254">
        <v>8.0000000000000002E-3</v>
      </c>
      <c r="M135" s="254">
        <v>8.0000000000000002E-3</v>
      </c>
      <c r="N135" s="254">
        <v>8.0000000000000002E-3</v>
      </c>
      <c r="O135" s="26"/>
      <c r="P135" s="254">
        <v>8.0000000000000002E-3</v>
      </c>
      <c r="Q135" s="254">
        <v>8.0000000000000002E-3</v>
      </c>
      <c r="R135" s="254">
        <v>8.0000000000000002E-3</v>
      </c>
      <c r="S135" s="254">
        <v>8.0000000000000002E-3</v>
      </c>
      <c r="T135" s="254">
        <v>8.0000000000000002E-3</v>
      </c>
      <c r="U135" s="26"/>
      <c r="V135" s="254">
        <v>8.0000000000000002E-3</v>
      </c>
      <c r="W135" s="254">
        <v>8.0000000000000002E-3</v>
      </c>
      <c r="X135" s="254">
        <v>8.0000000000000002E-3</v>
      </c>
      <c r="Y135" s="254">
        <v>8.0000000000000002E-3</v>
      </c>
      <c r="Z135" s="254">
        <v>8.0000000000000002E-3</v>
      </c>
      <c r="AA135" s="26"/>
      <c r="AB135" s="254">
        <v>8.0000000000000002E-3</v>
      </c>
      <c r="AC135" s="254">
        <v>8.0000000000000002E-3</v>
      </c>
      <c r="AD135" s="254">
        <v>8.0000000000000002E-3</v>
      </c>
      <c r="AE135" s="254">
        <v>8.0000000000000002E-3</v>
      </c>
      <c r="AF135" s="254">
        <v>8.0000000000000002E-3</v>
      </c>
      <c r="AG135" s="26"/>
      <c r="AH135" s="254">
        <v>8.0000000000000002E-3</v>
      </c>
    </row>
    <row r="136" spans="1:34" ht="15.75" customHeight="1" x14ac:dyDescent="0.2">
      <c r="A136" s="339"/>
      <c r="B136" s="327"/>
      <c r="C136" s="315"/>
      <c r="D136" s="31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339"/>
      <c r="B137" s="327" t="s">
        <v>87</v>
      </c>
      <c r="C137" s="338" t="s">
        <v>6</v>
      </c>
      <c r="D137" s="314" t="s">
        <v>78</v>
      </c>
      <c r="E137" s="254">
        <v>1E-4</v>
      </c>
      <c r="F137" s="254">
        <v>1E-4</v>
      </c>
      <c r="G137" s="254">
        <v>1E-4</v>
      </c>
      <c r="H137" s="254">
        <v>1E-4</v>
      </c>
      <c r="I137" s="26"/>
      <c r="J137" s="254">
        <v>1E-4</v>
      </c>
      <c r="K137" s="254">
        <v>1E-4</v>
      </c>
      <c r="L137" s="254">
        <v>1E-4</v>
      </c>
      <c r="M137" s="254">
        <v>1E-4</v>
      </c>
      <c r="N137" s="254">
        <v>1E-4</v>
      </c>
      <c r="O137" s="26"/>
      <c r="P137" s="254">
        <v>1E-4</v>
      </c>
      <c r="Q137" s="254">
        <v>1E-4</v>
      </c>
      <c r="R137" s="254">
        <v>1E-4</v>
      </c>
      <c r="S137" s="254">
        <v>1E-4</v>
      </c>
      <c r="T137" s="254">
        <v>1E-4</v>
      </c>
      <c r="U137" s="26"/>
      <c r="V137" s="254">
        <v>1E-4</v>
      </c>
      <c r="W137" s="254">
        <v>1E-4</v>
      </c>
      <c r="X137" s="254">
        <v>1E-4</v>
      </c>
      <c r="Y137" s="254">
        <v>1E-4</v>
      </c>
      <c r="Z137" s="254">
        <v>1E-4</v>
      </c>
      <c r="AA137" s="26"/>
      <c r="AB137" s="254">
        <v>1E-4</v>
      </c>
      <c r="AC137" s="254">
        <v>1E-4</v>
      </c>
      <c r="AD137" s="254">
        <v>1E-4</v>
      </c>
      <c r="AE137" s="254">
        <v>1E-4</v>
      </c>
      <c r="AF137" s="254">
        <v>1E-4</v>
      </c>
      <c r="AG137" s="26"/>
      <c r="AH137" s="254">
        <v>1E-4</v>
      </c>
    </row>
    <row r="138" spans="1:34" x14ac:dyDescent="0.2">
      <c r="A138" s="339"/>
      <c r="B138" s="327"/>
      <c r="C138" s="338"/>
      <c r="D138" s="31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x14ac:dyDescent="0.2">
      <c r="A139" s="339"/>
      <c r="B139" s="327"/>
      <c r="C139" s="338" t="s">
        <v>7</v>
      </c>
      <c r="D139" s="314"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x14ac:dyDescent="0.2">
      <c r="A140" s="339"/>
      <c r="B140" s="327"/>
      <c r="C140" s="338"/>
      <c r="D140" s="31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x14ac:dyDescent="0.2">
      <c r="A141" s="339"/>
      <c r="B141" s="327"/>
      <c r="C141" s="338" t="s">
        <v>8</v>
      </c>
      <c r="D141" s="314"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x14ac:dyDescent="0.2">
      <c r="A142" s="339"/>
      <c r="B142" s="327"/>
      <c r="C142" s="338"/>
      <c r="D142" s="31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x14ac:dyDescent="0.2">
      <c r="A143" s="339"/>
      <c r="B143" s="327" t="s">
        <v>139</v>
      </c>
      <c r="C143" s="75" t="s">
        <v>6</v>
      </c>
      <c r="D143" s="75" t="s">
        <v>135</v>
      </c>
      <c r="E143" s="23">
        <v>5</v>
      </c>
      <c r="F143" s="23">
        <v>5</v>
      </c>
      <c r="G143" s="23">
        <v>5</v>
      </c>
      <c r="H143" s="23">
        <v>5</v>
      </c>
      <c r="I143" s="26"/>
      <c r="J143" s="41">
        <v>20</v>
      </c>
      <c r="K143" s="23">
        <v>5</v>
      </c>
      <c r="L143" s="23">
        <v>5</v>
      </c>
      <c r="M143" s="23">
        <v>5</v>
      </c>
      <c r="N143" s="23">
        <v>5</v>
      </c>
      <c r="O143" s="26"/>
      <c r="P143" s="41">
        <v>20</v>
      </c>
      <c r="Q143" s="23">
        <v>5</v>
      </c>
      <c r="R143" s="23">
        <v>5</v>
      </c>
      <c r="S143" s="23">
        <v>5</v>
      </c>
      <c r="T143" s="23">
        <v>5</v>
      </c>
      <c r="U143" s="26"/>
      <c r="V143" s="41">
        <v>20</v>
      </c>
      <c r="W143" s="23">
        <v>5</v>
      </c>
      <c r="X143" s="23">
        <v>5</v>
      </c>
      <c r="Y143" s="23">
        <v>5</v>
      </c>
      <c r="Z143" s="23">
        <v>5</v>
      </c>
      <c r="AA143" s="26"/>
      <c r="AB143" s="41">
        <v>20</v>
      </c>
      <c r="AC143" s="23">
        <v>5</v>
      </c>
      <c r="AD143" s="23">
        <v>5</v>
      </c>
      <c r="AE143" s="23">
        <v>5</v>
      </c>
      <c r="AF143" s="23">
        <v>5</v>
      </c>
      <c r="AG143" s="26"/>
      <c r="AH143" s="41">
        <v>20</v>
      </c>
    </row>
    <row r="144" spans="1:34" x14ac:dyDescent="0.2">
      <c r="A144" s="339"/>
      <c r="B144" s="327"/>
      <c r="C144" s="75" t="s">
        <v>7</v>
      </c>
      <c r="D144" s="75" t="s">
        <v>135</v>
      </c>
      <c r="E144" s="23">
        <v>0</v>
      </c>
      <c r="F144" s="23">
        <v>0</v>
      </c>
      <c r="G144" s="23">
        <v>0</v>
      </c>
      <c r="H144" s="24">
        <v>1</v>
      </c>
      <c r="I144" s="26"/>
      <c r="J144" s="41">
        <v>1</v>
      </c>
      <c r="K144" s="23">
        <v>0</v>
      </c>
      <c r="L144" s="23">
        <v>0</v>
      </c>
      <c r="M144" s="23">
        <v>0</v>
      </c>
      <c r="N144" s="24">
        <v>1</v>
      </c>
      <c r="O144" s="26"/>
      <c r="P144" s="41">
        <v>1</v>
      </c>
      <c r="Q144" s="23">
        <v>0</v>
      </c>
      <c r="R144" s="23">
        <v>0</v>
      </c>
      <c r="S144" s="23">
        <v>0</v>
      </c>
      <c r="T144" s="24">
        <v>1</v>
      </c>
      <c r="U144" s="26"/>
      <c r="V144" s="41">
        <v>1</v>
      </c>
      <c r="W144" s="23">
        <v>0</v>
      </c>
      <c r="X144" s="23">
        <v>0</v>
      </c>
      <c r="Y144" s="23">
        <v>0</v>
      </c>
      <c r="Z144" s="24">
        <v>1</v>
      </c>
      <c r="AA144" s="26"/>
      <c r="AB144" s="41">
        <v>1</v>
      </c>
      <c r="AC144" s="23">
        <v>0</v>
      </c>
      <c r="AD144" s="23">
        <v>0</v>
      </c>
      <c r="AE144" s="23">
        <v>0</v>
      </c>
      <c r="AF144" s="24">
        <v>1</v>
      </c>
      <c r="AG144" s="26"/>
      <c r="AH144" s="41">
        <v>1</v>
      </c>
    </row>
    <row r="145" spans="1:34" ht="24" customHeight="1" x14ac:dyDescent="0.2">
      <c r="A145" s="339"/>
      <c r="B145" s="327"/>
      <c r="C145" s="75" t="s">
        <v>8</v>
      </c>
      <c r="D145" s="75" t="s">
        <v>135</v>
      </c>
      <c r="E145" s="23">
        <v>2</v>
      </c>
      <c r="F145" s="23">
        <v>2</v>
      </c>
      <c r="G145" s="23">
        <v>2</v>
      </c>
      <c r="H145" s="23">
        <v>4</v>
      </c>
      <c r="I145" s="26"/>
      <c r="J145" s="41">
        <v>10</v>
      </c>
      <c r="K145" s="23">
        <v>2</v>
      </c>
      <c r="L145" s="23">
        <v>2</v>
      </c>
      <c r="M145" s="23">
        <v>2</v>
      </c>
      <c r="N145" s="23">
        <v>4</v>
      </c>
      <c r="O145" s="26"/>
      <c r="P145" s="41">
        <v>10</v>
      </c>
      <c r="Q145" s="23">
        <v>2</v>
      </c>
      <c r="R145" s="23">
        <v>2</v>
      </c>
      <c r="S145" s="23">
        <v>2</v>
      </c>
      <c r="T145" s="23">
        <v>4</v>
      </c>
      <c r="U145" s="26"/>
      <c r="V145" s="41">
        <v>10</v>
      </c>
      <c r="W145" s="23">
        <v>2</v>
      </c>
      <c r="X145" s="23">
        <v>2</v>
      </c>
      <c r="Y145" s="23">
        <v>2</v>
      </c>
      <c r="Z145" s="23">
        <v>4</v>
      </c>
      <c r="AA145" s="26"/>
      <c r="AB145" s="41">
        <v>10</v>
      </c>
      <c r="AC145" s="23">
        <v>2</v>
      </c>
      <c r="AD145" s="23">
        <v>2</v>
      </c>
      <c r="AE145" s="23">
        <v>2</v>
      </c>
      <c r="AF145" s="23">
        <v>4</v>
      </c>
      <c r="AG145" s="26"/>
      <c r="AH145" s="41">
        <v>10</v>
      </c>
    </row>
    <row r="146" spans="1:34" ht="15.75" customHeight="1" x14ac:dyDescent="0.2">
      <c r="A146" s="339"/>
      <c r="B146" s="327" t="s">
        <v>140</v>
      </c>
      <c r="C146" s="315" t="s">
        <v>26</v>
      </c>
      <c r="D146" s="314"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x14ac:dyDescent="0.2">
      <c r="A147" s="339"/>
      <c r="B147" s="327"/>
      <c r="C147" s="315"/>
      <c r="D147" s="31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x14ac:dyDescent="0.2">
      <c r="A148" s="339"/>
      <c r="B148" s="327"/>
      <c r="C148" s="338" t="s">
        <v>7</v>
      </c>
      <c r="D148" s="314"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x14ac:dyDescent="0.2">
      <c r="A149" s="339"/>
      <c r="B149" s="327"/>
      <c r="C149" s="338"/>
      <c r="D149" s="31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x14ac:dyDescent="0.2">
      <c r="A150" s="339"/>
      <c r="B150" s="327"/>
      <c r="C150" s="315" t="s">
        <v>8</v>
      </c>
      <c r="D150" s="314"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x14ac:dyDescent="0.2">
      <c r="A151" s="339"/>
      <c r="B151" s="327"/>
      <c r="C151" s="315"/>
      <c r="D151" s="31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65">
        <v>1.6</v>
      </c>
      <c r="B152" s="348" t="s">
        <v>27</v>
      </c>
      <c r="C152" s="349"/>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315"/>
      <c r="B153" s="332" t="s">
        <v>126</v>
      </c>
      <c r="C153" s="315" t="s">
        <v>26</v>
      </c>
      <c r="D153" s="314" t="s">
        <v>78</v>
      </c>
      <c r="E153" s="254">
        <v>5.0000000000000001E-4</v>
      </c>
      <c r="F153" s="254">
        <v>5.0000000000000001E-4</v>
      </c>
      <c r="G153" s="254">
        <v>5.0000000000000001E-4</v>
      </c>
      <c r="H153" s="254">
        <v>5.0000000000000001E-4</v>
      </c>
      <c r="I153" s="29"/>
      <c r="J153" s="254">
        <v>5.0000000000000001E-4</v>
      </c>
      <c r="K153" s="254">
        <v>5.0000000000000001E-4</v>
      </c>
      <c r="L153" s="254">
        <v>5.0000000000000001E-4</v>
      </c>
      <c r="M153" s="254">
        <v>5.0000000000000001E-4</v>
      </c>
      <c r="N153" s="254">
        <v>5.0000000000000001E-4</v>
      </c>
      <c r="O153" s="26"/>
      <c r="P153" s="254">
        <v>5.0000000000000001E-4</v>
      </c>
      <c r="Q153" s="254">
        <v>5.0000000000000001E-4</v>
      </c>
      <c r="R153" s="254">
        <v>5.0000000000000001E-4</v>
      </c>
      <c r="S153" s="254">
        <v>5.0000000000000001E-4</v>
      </c>
      <c r="T153" s="254">
        <v>5.0000000000000001E-4</v>
      </c>
      <c r="U153" s="26"/>
      <c r="V153" s="254">
        <v>5.0000000000000001E-4</v>
      </c>
      <c r="W153" s="254">
        <v>5.0000000000000001E-4</v>
      </c>
      <c r="X153" s="254">
        <v>5.0000000000000001E-4</v>
      </c>
      <c r="Y153" s="254">
        <v>5.0000000000000001E-4</v>
      </c>
      <c r="Z153" s="254">
        <v>5.0000000000000001E-4</v>
      </c>
      <c r="AA153" s="254">
        <v>5.0000000000000001E-4</v>
      </c>
      <c r="AB153" s="254">
        <v>5.0000000000000001E-4</v>
      </c>
      <c r="AC153" s="254">
        <v>5.0000000000000001E-4</v>
      </c>
      <c r="AD153" s="254">
        <v>5.0000000000000001E-4</v>
      </c>
      <c r="AE153" s="254">
        <v>5.0000000000000001E-4</v>
      </c>
      <c r="AF153" s="254">
        <v>5.0000000000000001E-4</v>
      </c>
      <c r="AG153" s="254">
        <v>5.0000000000000001E-4</v>
      </c>
      <c r="AH153" s="254">
        <v>5.0000000000000001E-4</v>
      </c>
    </row>
    <row r="154" spans="1:34" x14ac:dyDescent="0.2">
      <c r="A154" s="315"/>
      <c r="B154" s="332"/>
      <c r="C154" s="315"/>
      <c r="D154" s="311"/>
      <c r="E154" s="254"/>
      <c r="F154" s="254"/>
      <c r="G154" s="254"/>
      <c r="H154" s="254"/>
      <c r="I154" s="26"/>
      <c r="J154" s="254"/>
      <c r="K154" s="254"/>
      <c r="L154" s="254"/>
      <c r="M154" s="254"/>
      <c r="N154" s="254"/>
      <c r="O154" s="26"/>
      <c r="P154" s="254"/>
      <c r="Q154" s="254"/>
      <c r="R154" s="254"/>
      <c r="S154" s="254"/>
      <c r="T154" s="254"/>
      <c r="U154" s="26"/>
      <c r="V154" s="254"/>
      <c r="W154" s="254"/>
      <c r="X154" s="254"/>
      <c r="Y154" s="254"/>
      <c r="Z154" s="254"/>
      <c r="AA154" s="254"/>
      <c r="AB154" s="254"/>
      <c r="AC154" s="254"/>
      <c r="AD154" s="254"/>
      <c r="AE154" s="254"/>
      <c r="AF154" s="254"/>
      <c r="AG154" s="254"/>
      <c r="AH154" s="254"/>
    </row>
    <row r="155" spans="1:34" x14ac:dyDescent="0.2">
      <c r="A155" s="315"/>
      <c r="B155" s="332"/>
      <c r="C155" s="315" t="s">
        <v>7</v>
      </c>
      <c r="D155" s="314"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52">
        <v>0.01</v>
      </c>
      <c r="AB155" s="252">
        <v>0.01</v>
      </c>
      <c r="AC155" s="252">
        <v>0.01</v>
      </c>
      <c r="AD155" s="252">
        <v>0.01</v>
      </c>
      <c r="AE155" s="252">
        <v>0.01</v>
      </c>
      <c r="AF155" s="252">
        <v>0.01</v>
      </c>
      <c r="AG155" s="252">
        <v>0.01</v>
      </c>
      <c r="AH155" s="252">
        <v>0.01</v>
      </c>
    </row>
    <row r="156" spans="1:34" x14ac:dyDescent="0.2">
      <c r="A156" s="315"/>
      <c r="B156" s="332"/>
      <c r="C156" s="315"/>
      <c r="D156" s="31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52"/>
      <c r="AB156" s="252"/>
      <c r="AC156" s="252"/>
      <c r="AD156" s="252"/>
      <c r="AE156" s="252"/>
      <c r="AF156" s="252"/>
      <c r="AG156" s="252"/>
      <c r="AH156" s="252"/>
    </row>
    <row r="157" spans="1:34" x14ac:dyDescent="0.2">
      <c r="A157" s="315"/>
      <c r="B157" s="332"/>
      <c r="C157" s="315" t="s">
        <v>8</v>
      </c>
      <c r="D157" s="314"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52">
        <v>0.01</v>
      </c>
      <c r="AB157" s="252">
        <v>0.01</v>
      </c>
      <c r="AC157" s="252">
        <v>0.01</v>
      </c>
      <c r="AD157" s="252">
        <v>0.01</v>
      </c>
      <c r="AE157" s="252">
        <v>0.01</v>
      </c>
      <c r="AF157" s="252">
        <v>0.01</v>
      </c>
      <c r="AG157" s="252">
        <v>0.01</v>
      </c>
      <c r="AH157" s="252">
        <v>0.01</v>
      </c>
    </row>
    <row r="158" spans="1:34" x14ac:dyDescent="0.2">
      <c r="A158" s="315"/>
      <c r="B158" s="332"/>
      <c r="C158" s="315"/>
      <c r="D158" s="31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52"/>
      <c r="AB158" s="252"/>
      <c r="AC158" s="252"/>
      <c r="AD158" s="252"/>
      <c r="AE158" s="252"/>
      <c r="AF158" s="252"/>
      <c r="AG158" s="252"/>
      <c r="AH158" s="252"/>
    </row>
    <row r="159" spans="1:34" x14ac:dyDescent="0.2">
      <c r="A159" s="315"/>
      <c r="B159" s="288" t="s">
        <v>127</v>
      </c>
      <c r="C159" s="315" t="s">
        <v>26</v>
      </c>
      <c r="D159" s="314" t="s">
        <v>78</v>
      </c>
      <c r="E159" s="254">
        <v>5.0000000000000001E-4</v>
      </c>
      <c r="F159" s="254">
        <v>5.0000000000000001E-4</v>
      </c>
      <c r="G159" s="254">
        <v>5.0000000000000001E-4</v>
      </c>
      <c r="H159" s="254">
        <v>5.0000000000000001E-4</v>
      </c>
      <c r="I159" s="26"/>
      <c r="J159" s="254">
        <v>5.0000000000000001E-4</v>
      </c>
      <c r="K159" s="254">
        <v>5.0000000000000001E-4</v>
      </c>
      <c r="L159" s="254">
        <v>5.0000000000000001E-4</v>
      </c>
      <c r="M159" s="254">
        <v>5.0000000000000001E-4</v>
      </c>
      <c r="N159" s="254">
        <v>5.0000000000000001E-4</v>
      </c>
      <c r="O159" s="26"/>
      <c r="P159" s="254">
        <v>5.0000000000000001E-4</v>
      </c>
      <c r="Q159" s="254">
        <v>5.0000000000000001E-4</v>
      </c>
      <c r="R159" s="254">
        <v>5.0000000000000001E-4</v>
      </c>
      <c r="S159" s="254">
        <v>5.0000000000000001E-4</v>
      </c>
      <c r="T159" s="254">
        <v>5.0000000000000001E-4</v>
      </c>
      <c r="U159" s="26"/>
      <c r="V159" s="254">
        <v>5.0000000000000001E-4</v>
      </c>
      <c r="W159" s="254">
        <v>5.0000000000000001E-4</v>
      </c>
      <c r="X159" s="254">
        <v>5.0000000000000001E-4</v>
      </c>
      <c r="Y159" s="254">
        <v>5.0000000000000001E-4</v>
      </c>
      <c r="Z159" s="254">
        <v>5.0000000000000001E-4</v>
      </c>
      <c r="AA159" s="254">
        <v>5.0000000000000001E-4</v>
      </c>
      <c r="AB159" s="254">
        <v>5.0000000000000001E-4</v>
      </c>
      <c r="AC159" s="254">
        <v>5.0000000000000001E-4</v>
      </c>
      <c r="AD159" s="254">
        <v>5.0000000000000001E-4</v>
      </c>
      <c r="AE159" s="254">
        <v>5.0000000000000001E-4</v>
      </c>
      <c r="AF159" s="254">
        <v>5.0000000000000001E-4</v>
      </c>
      <c r="AG159" s="254">
        <v>5.0000000000000001E-4</v>
      </c>
      <c r="AH159" s="254">
        <v>5.0000000000000001E-4</v>
      </c>
    </row>
    <row r="160" spans="1:34" x14ac:dyDescent="0.2">
      <c r="A160" s="315"/>
      <c r="B160" s="288"/>
      <c r="C160" s="315"/>
      <c r="D160" s="311"/>
      <c r="E160" s="254"/>
      <c r="F160" s="254"/>
      <c r="G160" s="254"/>
      <c r="H160" s="254"/>
      <c r="I160" s="26"/>
      <c r="J160" s="254"/>
      <c r="K160" s="254"/>
      <c r="L160" s="254"/>
      <c r="M160" s="254"/>
      <c r="N160" s="254"/>
      <c r="O160" s="26"/>
      <c r="P160" s="254"/>
      <c r="Q160" s="254"/>
      <c r="R160" s="254"/>
      <c r="S160" s="254"/>
      <c r="T160" s="254"/>
      <c r="U160" s="26"/>
      <c r="V160" s="254"/>
      <c r="W160" s="254"/>
      <c r="X160" s="254"/>
      <c r="Y160" s="254"/>
      <c r="Z160" s="254"/>
      <c r="AA160" s="254"/>
      <c r="AB160" s="254"/>
      <c r="AC160" s="254"/>
      <c r="AD160" s="254"/>
      <c r="AE160" s="254"/>
      <c r="AF160" s="254"/>
      <c r="AG160" s="254"/>
      <c r="AH160" s="254"/>
    </row>
    <row r="161" spans="1:34" x14ac:dyDescent="0.2">
      <c r="A161" s="315"/>
      <c r="B161" s="288"/>
      <c r="C161" s="315" t="s">
        <v>7</v>
      </c>
      <c r="D161" s="314"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52">
        <v>0.01</v>
      </c>
      <c r="AB161" s="252">
        <v>0.01</v>
      </c>
      <c r="AC161" s="252">
        <v>0.01</v>
      </c>
      <c r="AD161" s="252">
        <v>0.01</v>
      </c>
      <c r="AE161" s="252">
        <v>0.01</v>
      </c>
      <c r="AF161" s="252">
        <v>0.01</v>
      </c>
      <c r="AG161" s="252">
        <v>0.01</v>
      </c>
      <c r="AH161" s="252">
        <v>0.01</v>
      </c>
    </row>
    <row r="162" spans="1:34" x14ac:dyDescent="0.2">
      <c r="A162" s="315"/>
      <c r="B162" s="288"/>
      <c r="C162" s="315"/>
      <c r="D162" s="31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52"/>
      <c r="AB162" s="252"/>
      <c r="AC162" s="252"/>
      <c r="AD162" s="252"/>
      <c r="AE162" s="252"/>
      <c r="AF162" s="252"/>
      <c r="AG162" s="252"/>
      <c r="AH162" s="252"/>
    </row>
    <row r="163" spans="1:34" x14ac:dyDescent="0.2">
      <c r="A163" s="315"/>
      <c r="B163" s="288"/>
      <c r="C163" s="315" t="s">
        <v>8</v>
      </c>
      <c r="D163" s="314"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52">
        <v>0.01</v>
      </c>
      <c r="AB163" s="252">
        <v>0.01</v>
      </c>
      <c r="AC163" s="252">
        <v>0.01</v>
      </c>
      <c r="AD163" s="252">
        <v>0.01</v>
      </c>
      <c r="AE163" s="252">
        <v>0.01</v>
      </c>
      <c r="AF163" s="252">
        <v>0.01</v>
      </c>
      <c r="AG163" s="252">
        <v>0.01</v>
      </c>
      <c r="AH163" s="252">
        <v>0.01</v>
      </c>
    </row>
    <row r="164" spans="1:34" x14ac:dyDescent="0.2">
      <c r="A164" s="315"/>
      <c r="B164" s="288"/>
      <c r="C164" s="315"/>
      <c r="D164" s="31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52"/>
      <c r="AB164" s="252"/>
      <c r="AC164" s="252"/>
      <c r="AD164" s="252"/>
      <c r="AE164" s="252"/>
      <c r="AF164" s="252"/>
      <c r="AG164" s="252"/>
      <c r="AH164" s="252"/>
    </row>
    <row r="165" spans="1:34" x14ac:dyDescent="0.2">
      <c r="A165" s="315"/>
      <c r="B165" s="327" t="s">
        <v>128</v>
      </c>
      <c r="C165" s="338" t="s">
        <v>6</v>
      </c>
      <c r="D165" s="314"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52">
        <v>0</v>
      </c>
      <c r="AB165" s="252">
        <v>0</v>
      </c>
      <c r="AC165" s="252">
        <v>0</v>
      </c>
      <c r="AD165" s="252">
        <v>0</v>
      </c>
      <c r="AE165" s="252">
        <v>0</v>
      </c>
      <c r="AF165" s="252">
        <v>0</v>
      </c>
      <c r="AG165" s="252">
        <v>0</v>
      </c>
      <c r="AH165" s="252">
        <v>0</v>
      </c>
    </row>
    <row r="166" spans="1:34" x14ac:dyDescent="0.2">
      <c r="A166" s="315"/>
      <c r="B166" s="327"/>
      <c r="C166" s="338"/>
      <c r="D166" s="31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52"/>
      <c r="AB166" s="252"/>
      <c r="AC166" s="252"/>
      <c r="AD166" s="252"/>
      <c r="AE166" s="252"/>
      <c r="AF166" s="252"/>
      <c r="AG166" s="252"/>
      <c r="AH166" s="252"/>
    </row>
    <row r="167" spans="1:34" x14ac:dyDescent="0.2">
      <c r="A167" s="315"/>
      <c r="B167" s="327"/>
      <c r="C167" s="338" t="s">
        <v>7</v>
      </c>
      <c r="D167" s="314"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52">
        <v>0</v>
      </c>
      <c r="AB167" s="252">
        <v>0</v>
      </c>
      <c r="AC167" s="252">
        <v>0</v>
      </c>
      <c r="AD167" s="252">
        <v>0</v>
      </c>
      <c r="AE167" s="252">
        <v>0</v>
      </c>
      <c r="AF167" s="252">
        <v>0</v>
      </c>
      <c r="AG167" s="252">
        <v>0</v>
      </c>
      <c r="AH167" s="252">
        <v>0</v>
      </c>
    </row>
    <row r="168" spans="1:34" x14ac:dyDescent="0.2">
      <c r="A168" s="315"/>
      <c r="B168" s="327"/>
      <c r="C168" s="338"/>
      <c r="D168" s="31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52"/>
      <c r="AB168" s="252"/>
      <c r="AC168" s="252"/>
      <c r="AD168" s="252"/>
      <c r="AE168" s="252"/>
      <c r="AF168" s="252"/>
      <c r="AG168" s="252"/>
      <c r="AH168" s="252"/>
    </row>
    <row r="169" spans="1:34" x14ac:dyDescent="0.2">
      <c r="A169" s="315"/>
      <c r="B169" s="327"/>
      <c r="C169" s="338" t="s">
        <v>8</v>
      </c>
      <c r="D169" s="314"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52">
        <v>0</v>
      </c>
      <c r="AB169" s="252">
        <v>0</v>
      </c>
      <c r="AC169" s="252">
        <v>0</v>
      </c>
      <c r="AD169" s="252">
        <v>0</v>
      </c>
      <c r="AE169" s="252">
        <v>0</v>
      </c>
      <c r="AF169" s="252">
        <v>0</v>
      </c>
      <c r="AG169" s="252">
        <v>0</v>
      </c>
      <c r="AH169" s="252">
        <v>0</v>
      </c>
    </row>
    <row r="170" spans="1:34" x14ac:dyDescent="0.2">
      <c r="A170" s="315"/>
      <c r="B170" s="327"/>
      <c r="C170" s="338"/>
      <c r="D170" s="31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52"/>
      <c r="AB170" s="252"/>
      <c r="AC170" s="252"/>
      <c r="AD170" s="252"/>
      <c r="AE170" s="252"/>
      <c r="AF170" s="252"/>
      <c r="AG170" s="252"/>
      <c r="AH170" s="252"/>
    </row>
    <row r="171" spans="1:34" ht="15" customHeight="1" x14ac:dyDescent="0.2">
      <c r="A171" s="340"/>
      <c r="B171" s="338" t="s">
        <v>88</v>
      </c>
      <c r="C171" s="338" t="s">
        <v>6</v>
      </c>
      <c r="D171" s="314"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52">
        <v>0</v>
      </c>
      <c r="AB171" s="252">
        <v>0</v>
      </c>
      <c r="AC171" s="252">
        <v>0</v>
      </c>
      <c r="AD171" s="252">
        <v>0</v>
      </c>
      <c r="AE171" s="252">
        <v>0</v>
      </c>
      <c r="AF171" s="252">
        <v>0</v>
      </c>
      <c r="AG171" s="252">
        <v>0</v>
      </c>
      <c r="AH171" s="252">
        <v>0</v>
      </c>
    </row>
    <row r="172" spans="1:34" x14ac:dyDescent="0.2">
      <c r="A172" s="340"/>
      <c r="B172" s="338"/>
      <c r="C172" s="338"/>
      <c r="D172" s="31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52"/>
      <c r="AB172" s="252"/>
      <c r="AC172" s="252"/>
      <c r="AD172" s="252"/>
      <c r="AE172" s="252"/>
      <c r="AF172" s="252"/>
      <c r="AG172" s="252"/>
      <c r="AH172" s="252"/>
    </row>
    <row r="173" spans="1:34" x14ac:dyDescent="0.2">
      <c r="A173" s="340"/>
      <c r="B173" s="338"/>
      <c r="C173" s="338" t="s">
        <v>7</v>
      </c>
      <c r="D173" s="314"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52">
        <v>0</v>
      </c>
      <c r="AB173" s="252">
        <v>0</v>
      </c>
      <c r="AC173" s="252">
        <v>0</v>
      </c>
      <c r="AD173" s="252">
        <v>0</v>
      </c>
      <c r="AE173" s="252">
        <v>0</v>
      </c>
      <c r="AF173" s="252">
        <v>0</v>
      </c>
      <c r="AG173" s="252">
        <v>0</v>
      </c>
      <c r="AH173" s="252">
        <v>0</v>
      </c>
    </row>
    <row r="174" spans="1:34" x14ac:dyDescent="0.2">
      <c r="A174" s="340"/>
      <c r="B174" s="338"/>
      <c r="C174" s="338"/>
      <c r="D174" s="31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52"/>
      <c r="AB174" s="252"/>
      <c r="AC174" s="252"/>
      <c r="AD174" s="252"/>
      <c r="AE174" s="252"/>
      <c r="AF174" s="252"/>
      <c r="AG174" s="252"/>
      <c r="AH174" s="252"/>
    </row>
    <row r="175" spans="1:34" x14ac:dyDescent="0.2">
      <c r="A175" s="340"/>
      <c r="B175" s="338"/>
      <c r="C175" s="338" t="s">
        <v>8</v>
      </c>
      <c r="D175" s="314"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52">
        <v>0</v>
      </c>
      <c r="AB175" s="252">
        <v>0</v>
      </c>
      <c r="AC175" s="252">
        <v>0</v>
      </c>
      <c r="AD175" s="252">
        <v>0</v>
      </c>
      <c r="AE175" s="252">
        <v>0</v>
      </c>
      <c r="AF175" s="252">
        <v>0</v>
      </c>
      <c r="AG175" s="252">
        <v>0</v>
      </c>
      <c r="AH175" s="252">
        <v>0</v>
      </c>
    </row>
    <row r="176" spans="1:34" x14ac:dyDescent="0.2">
      <c r="A176" s="340"/>
      <c r="B176" s="338"/>
      <c r="C176" s="338"/>
      <c r="D176" s="31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52"/>
      <c r="AB176" s="252"/>
      <c r="AC176" s="252"/>
      <c r="AD176" s="252"/>
      <c r="AE176" s="252"/>
      <c r="AF176" s="252"/>
      <c r="AG176" s="252"/>
      <c r="AH176" s="252"/>
    </row>
    <row r="177" spans="1:34" ht="15.75" customHeight="1" x14ac:dyDescent="0.2">
      <c r="A177" s="340"/>
      <c r="B177" s="338" t="s">
        <v>141</v>
      </c>
      <c r="C177" s="338" t="s">
        <v>6</v>
      </c>
      <c r="D177" s="314"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52">
        <v>0</v>
      </c>
      <c r="AB177" s="252">
        <v>0</v>
      </c>
      <c r="AC177" s="252">
        <v>0</v>
      </c>
      <c r="AD177" s="252">
        <v>0</v>
      </c>
      <c r="AE177" s="252">
        <v>0</v>
      </c>
      <c r="AF177" s="252">
        <v>0</v>
      </c>
      <c r="AG177" s="252">
        <v>0</v>
      </c>
      <c r="AH177" s="252">
        <v>0</v>
      </c>
    </row>
    <row r="178" spans="1:34" x14ac:dyDescent="0.2">
      <c r="A178" s="340"/>
      <c r="B178" s="338"/>
      <c r="C178" s="338"/>
      <c r="D178" s="31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52"/>
      <c r="AB178" s="252"/>
      <c r="AC178" s="252"/>
      <c r="AD178" s="252"/>
      <c r="AE178" s="252"/>
      <c r="AF178" s="252"/>
      <c r="AG178" s="252"/>
      <c r="AH178" s="252"/>
    </row>
    <row r="179" spans="1:34" x14ac:dyDescent="0.2">
      <c r="A179" s="340"/>
      <c r="B179" s="338"/>
      <c r="C179" s="338" t="s">
        <v>7</v>
      </c>
      <c r="D179" s="314"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52">
        <v>0</v>
      </c>
      <c r="AB179" s="252">
        <v>0</v>
      </c>
      <c r="AC179" s="252">
        <v>0</v>
      </c>
      <c r="AD179" s="252">
        <v>0</v>
      </c>
      <c r="AE179" s="252">
        <v>0</v>
      </c>
      <c r="AF179" s="252">
        <v>0</v>
      </c>
      <c r="AG179" s="252">
        <v>0</v>
      </c>
      <c r="AH179" s="252">
        <v>0</v>
      </c>
    </row>
    <row r="180" spans="1:34" x14ac:dyDescent="0.2">
      <c r="A180" s="340"/>
      <c r="B180" s="338"/>
      <c r="C180" s="338"/>
      <c r="D180" s="31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52"/>
      <c r="AB180" s="252"/>
      <c r="AC180" s="252"/>
      <c r="AD180" s="252"/>
      <c r="AE180" s="252"/>
      <c r="AF180" s="252"/>
      <c r="AG180" s="252"/>
      <c r="AH180" s="252"/>
    </row>
    <row r="181" spans="1:34" x14ac:dyDescent="0.2">
      <c r="A181" s="340"/>
      <c r="B181" s="338"/>
      <c r="C181" s="338" t="s">
        <v>8</v>
      </c>
      <c r="D181" s="314"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52">
        <v>0</v>
      </c>
      <c r="AB181" s="252">
        <v>0</v>
      </c>
      <c r="AC181" s="252">
        <v>0</v>
      </c>
      <c r="AD181" s="252">
        <v>0</v>
      </c>
      <c r="AE181" s="252">
        <v>0</v>
      </c>
      <c r="AF181" s="252">
        <v>0</v>
      </c>
      <c r="AG181" s="252">
        <v>0</v>
      </c>
      <c r="AH181" s="252">
        <v>0</v>
      </c>
    </row>
    <row r="182" spans="1:34" x14ac:dyDescent="0.2">
      <c r="A182" s="340"/>
      <c r="B182" s="338"/>
      <c r="C182" s="338"/>
      <c r="D182" s="31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52"/>
      <c r="AB182" s="252"/>
      <c r="AC182" s="252"/>
      <c r="AD182" s="252"/>
      <c r="AE182" s="252"/>
      <c r="AF182" s="252"/>
      <c r="AG182" s="252"/>
      <c r="AH182" s="252"/>
    </row>
    <row r="183" spans="1:34" ht="17.25" customHeight="1" x14ac:dyDescent="0.2">
      <c r="A183" s="340"/>
      <c r="B183" s="338" t="s">
        <v>89</v>
      </c>
      <c r="C183" s="338" t="s">
        <v>6</v>
      </c>
      <c r="D183" s="314" t="s">
        <v>78</v>
      </c>
      <c r="E183" s="254">
        <v>1E-3</v>
      </c>
      <c r="F183" s="254">
        <v>1E-3</v>
      </c>
      <c r="G183" s="254">
        <v>1E-3</v>
      </c>
      <c r="H183" s="254">
        <v>1E-3</v>
      </c>
      <c r="I183" s="26"/>
      <c r="J183" s="254">
        <v>1E-3</v>
      </c>
      <c r="K183" s="254">
        <v>1E-3</v>
      </c>
      <c r="L183" s="254">
        <v>1E-3</v>
      </c>
      <c r="M183" s="254">
        <v>1E-3</v>
      </c>
      <c r="N183" s="254">
        <v>1E-3</v>
      </c>
      <c r="O183" s="26"/>
      <c r="P183" s="254">
        <v>1E-3</v>
      </c>
      <c r="Q183" s="254">
        <v>1E-3</v>
      </c>
      <c r="R183" s="254">
        <v>1E-3</v>
      </c>
      <c r="S183" s="254">
        <v>1E-3</v>
      </c>
      <c r="T183" s="254">
        <v>1E-3</v>
      </c>
      <c r="U183" s="26"/>
      <c r="V183" s="254">
        <v>1E-3</v>
      </c>
      <c r="W183" s="254">
        <v>1E-3</v>
      </c>
      <c r="X183" s="254">
        <v>1E-3</v>
      </c>
      <c r="Y183" s="254">
        <v>1E-3</v>
      </c>
      <c r="Z183" s="254">
        <v>1E-3</v>
      </c>
      <c r="AA183" s="254">
        <v>1E-3</v>
      </c>
      <c r="AB183" s="254">
        <v>1E-3</v>
      </c>
      <c r="AC183" s="254">
        <v>1E-3</v>
      </c>
      <c r="AD183" s="254">
        <v>1E-3</v>
      </c>
      <c r="AE183" s="254">
        <v>1E-3</v>
      </c>
      <c r="AF183" s="254">
        <v>1E-3</v>
      </c>
      <c r="AG183" s="254">
        <v>1E-3</v>
      </c>
      <c r="AH183" s="254">
        <v>1E-3</v>
      </c>
    </row>
    <row r="184" spans="1:34" x14ac:dyDescent="0.2">
      <c r="A184" s="340"/>
      <c r="B184" s="338"/>
      <c r="C184" s="338"/>
      <c r="D184" s="31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54"/>
      <c r="AB184" s="254"/>
      <c r="AC184" s="254"/>
      <c r="AD184" s="254"/>
      <c r="AE184" s="254"/>
      <c r="AF184" s="254"/>
      <c r="AG184" s="254"/>
      <c r="AH184" s="254"/>
    </row>
    <row r="185" spans="1:34" x14ac:dyDescent="0.2">
      <c r="A185" s="340"/>
      <c r="B185" s="338"/>
      <c r="C185" s="338" t="s">
        <v>7</v>
      </c>
      <c r="D185" s="314"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52">
        <v>0.01</v>
      </c>
      <c r="AB185" s="252">
        <v>0.01</v>
      </c>
      <c r="AC185" s="252">
        <v>0.01</v>
      </c>
      <c r="AD185" s="252">
        <v>0.01</v>
      </c>
      <c r="AE185" s="252">
        <v>0.01</v>
      </c>
      <c r="AF185" s="252">
        <v>0.01</v>
      </c>
      <c r="AG185" s="252">
        <v>0.01</v>
      </c>
      <c r="AH185" s="252">
        <v>0.01</v>
      </c>
    </row>
    <row r="186" spans="1:34" x14ac:dyDescent="0.2">
      <c r="A186" s="340"/>
      <c r="B186" s="338"/>
      <c r="C186" s="338"/>
      <c r="D186" s="31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52"/>
      <c r="AB186" s="252"/>
      <c r="AC186" s="252"/>
      <c r="AD186" s="252"/>
      <c r="AE186" s="252"/>
      <c r="AF186" s="252"/>
      <c r="AG186" s="252"/>
      <c r="AH186" s="252"/>
    </row>
    <row r="187" spans="1:34" x14ac:dyDescent="0.2">
      <c r="A187" s="340"/>
      <c r="B187" s="338"/>
      <c r="C187" s="338" t="s">
        <v>8</v>
      </c>
      <c r="D187" s="314"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52">
        <v>0.01</v>
      </c>
      <c r="AB187" s="252">
        <v>0.01</v>
      </c>
      <c r="AC187" s="252">
        <v>0.01</v>
      </c>
      <c r="AD187" s="252">
        <v>0.01</v>
      </c>
      <c r="AE187" s="252">
        <v>0.01</v>
      </c>
      <c r="AF187" s="252">
        <v>0.01</v>
      </c>
      <c r="AG187" s="252">
        <v>0.01</v>
      </c>
      <c r="AH187" s="252">
        <v>0.01</v>
      </c>
    </row>
    <row r="188" spans="1:34" x14ac:dyDescent="0.2">
      <c r="A188" s="340"/>
      <c r="B188" s="338"/>
      <c r="C188" s="338"/>
      <c r="D188" s="31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52"/>
      <c r="AB188" s="252"/>
      <c r="AC188" s="252"/>
      <c r="AD188" s="252"/>
      <c r="AE188" s="252"/>
      <c r="AF188" s="252"/>
      <c r="AG188" s="252"/>
      <c r="AH188" s="252"/>
    </row>
    <row r="189" spans="1:34" x14ac:dyDescent="0.2">
      <c r="A189" s="65">
        <v>1.7</v>
      </c>
      <c r="B189" s="319" t="s">
        <v>28</v>
      </c>
      <c r="C189" s="320"/>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339"/>
      <c r="B190" s="327" t="s">
        <v>90</v>
      </c>
      <c r="C190" s="327"/>
      <c r="D190" s="314"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52">
        <v>0.2</v>
      </c>
      <c r="AB190" s="252">
        <v>0.2</v>
      </c>
      <c r="AC190" s="252">
        <v>0.2</v>
      </c>
      <c r="AD190" s="252">
        <v>0.2</v>
      </c>
      <c r="AE190" s="252">
        <v>0.2</v>
      </c>
      <c r="AF190" s="252">
        <v>0.2</v>
      </c>
      <c r="AG190" s="26"/>
      <c r="AH190" s="252">
        <v>0.2</v>
      </c>
    </row>
    <row r="191" spans="1:34" ht="57.6" customHeight="1" x14ac:dyDescent="0.2">
      <c r="A191" s="339"/>
      <c r="B191" s="327"/>
      <c r="C191" s="327"/>
      <c r="D191" s="31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52"/>
      <c r="AB191" s="252"/>
      <c r="AC191" s="252"/>
      <c r="AD191" s="252"/>
      <c r="AE191" s="252"/>
      <c r="AF191" s="252"/>
      <c r="AG191" s="26"/>
      <c r="AH191" s="252"/>
    </row>
    <row r="192" spans="1:34" ht="37.200000000000003" customHeight="1" x14ac:dyDescent="0.2">
      <c r="A192" s="339"/>
      <c r="B192" s="327" t="s">
        <v>91</v>
      </c>
      <c r="C192" s="327"/>
      <c r="D192" s="314"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52">
        <v>1</v>
      </c>
      <c r="AB192" s="252">
        <v>1</v>
      </c>
      <c r="AC192" s="252">
        <v>1</v>
      </c>
      <c r="AD192" s="252">
        <v>1</v>
      </c>
      <c r="AE192" s="252">
        <v>1</v>
      </c>
      <c r="AF192" s="252">
        <v>1</v>
      </c>
      <c r="AG192" s="26"/>
      <c r="AH192" s="252">
        <v>1</v>
      </c>
    </row>
    <row r="193" spans="1:34" x14ac:dyDescent="0.2">
      <c r="A193" s="339"/>
      <c r="B193" s="327"/>
      <c r="C193" s="327"/>
      <c r="D193" s="31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52"/>
      <c r="AB193" s="252"/>
      <c r="AC193" s="252"/>
      <c r="AD193" s="252"/>
      <c r="AE193" s="252"/>
      <c r="AF193" s="252"/>
      <c r="AG193" s="26"/>
      <c r="AH193" s="252"/>
    </row>
    <row r="194" spans="1:34" ht="15.75" customHeight="1" x14ac:dyDescent="0.2">
      <c r="A194" s="78">
        <v>2</v>
      </c>
      <c r="B194" s="317" t="s">
        <v>29</v>
      </c>
      <c r="C194" s="318"/>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6.8" customHeight="1" x14ac:dyDescent="0.2">
      <c r="A195" s="78">
        <v>2.1</v>
      </c>
      <c r="B195" s="317" t="s">
        <v>30</v>
      </c>
      <c r="C195" s="318"/>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48" customHeight="1" x14ac:dyDescent="0.2">
      <c r="A196" s="339"/>
      <c r="B196" s="288" t="s">
        <v>142</v>
      </c>
      <c r="C196" s="332"/>
      <c r="D196" s="315" t="s">
        <v>78</v>
      </c>
      <c r="E196" s="254">
        <v>0.52759999999999996</v>
      </c>
      <c r="F196" s="254">
        <v>0.52759999999999996</v>
      </c>
      <c r="G196" s="254">
        <v>0.52759999999999996</v>
      </c>
      <c r="H196" s="254">
        <v>0.52759999999999996</v>
      </c>
      <c r="I196" s="45"/>
      <c r="J196" s="254">
        <v>0.52759999999999996</v>
      </c>
      <c r="K196" s="254">
        <v>0.50760000000000005</v>
      </c>
      <c r="L196" s="254">
        <v>0.50760000000000005</v>
      </c>
      <c r="M196" s="254">
        <v>0.50760000000000005</v>
      </c>
      <c r="N196" s="254">
        <v>0.50760000000000005</v>
      </c>
      <c r="O196" s="45"/>
      <c r="P196" s="254">
        <v>0.50760000000000005</v>
      </c>
      <c r="Q196" s="254">
        <v>0.48759999999999998</v>
      </c>
      <c r="R196" s="254">
        <v>0.48759999999999998</v>
      </c>
      <c r="S196" s="254">
        <v>0.48759999999999998</v>
      </c>
      <c r="T196" s="254">
        <v>0.48759999999999998</v>
      </c>
      <c r="U196" s="45"/>
      <c r="V196" s="254">
        <v>0.48759999999999998</v>
      </c>
      <c r="W196" s="254">
        <v>0.46760000000000002</v>
      </c>
      <c r="X196" s="254">
        <v>0.46760000000000002</v>
      </c>
      <c r="Y196" s="254">
        <v>0.46760000000000002</v>
      </c>
      <c r="Z196" s="254">
        <v>0.46760000000000002</v>
      </c>
      <c r="AA196" s="45"/>
      <c r="AB196" s="254">
        <v>0.46760000000000002</v>
      </c>
      <c r="AC196" s="254">
        <v>0.23180000000000001</v>
      </c>
      <c r="AD196" s="254">
        <v>0.23180000000000001</v>
      </c>
      <c r="AE196" s="254">
        <v>0.23180000000000001</v>
      </c>
      <c r="AF196" s="254">
        <v>0.23180000000000001</v>
      </c>
      <c r="AG196" s="29"/>
      <c r="AH196" s="254">
        <v>0.23180000000000001</v>
      </c>
    </row>
    <row r="197" spans="1:34" ht="24" customHeight="1" x14ac:dyDescent="0.2">
      <c r="A197" s="339"/>
      <c r="B197" s="332"/>
      <c r="C197" s="332"/>
      <c r="D197" s="315"/>
      <c r="E197" s="254"/>
      <c r="F197" s="254"/>
      <c r="G197" s="254"/>
      <c r="H197" s="254"/>
      <c r="I197" s="45"/>
      <c r="J197" s="254"/>
      <c r="K197" s="254">
        <v>0.56999999999999995</v>
      </c>
      <c r="L197" s="254">
        <v>0.56999999999999995</v>
      </c>
      <c r="M197" s="254">
        <v>0.56999999999999995</v>
      </c>
      <c r="N197" s="254">
        <v>0.56999999999999995</v>
      </c>
      <c r="O197" s="45"/>
      <c r="P197" s="254">
        <v>0.56999999999999995</v>
      </c>
      <c r="Q197" s="254">
        <v>0.56999999999999995</v>
      </c>
      <c r="R197" s="254">
        <v>0.56999999999999995</v>
      </c>
      <c r="S197" s="254">
        <v>0.56999999999999995</v>
      </c>
      <c r="T197" s="254">
        <v>0.56999999999999995</v>
      </c>
      <c r="U197" s="45"/>
      <c r="V197" s="254">
        <v>0.56999999999999995</v>
      </c>
      <c r="W197" s="254">
        <v>0.56999999999999995</v>
      </c>
      <c r="X197" s="254">
        <v>0.56999999999999995</v>
      </c>
      <c r="Y197" s="254">
        <v>0.56999999999999995</v>
      </c>
      <c r="Z197" s="254">
        <v>0.56999999999999995</v>
      </c>
      <c r="AA197" s="45"/>
      <c r="AB197" s="254">
        <v>0.56999999999999995</v>
      </c>
      <c r="AC197" s="254">
        <v>0.56999999999999995</v>
      </c>
      <c r="AD197" s="254">
        <v>0.56999999999999995</v>
      </c>
      <c r="AE197" s="254">
        <v>0.56999999999999995</v>
      </c>
      <c r="AF197" s="254">
        <v>0.56999999999999995</v>
      </c>
      <c r="AG197" s="29"/>
      <c r="AH197" s="254">
        <v>0.56999999999999995</v>
      </c>
    </row>
    <row r="198" spans="1:34" ht="24.75" customHeight="1" x14ac:dyDescent="0.2">
      <c r="A198" s="339"/>
      <c r="B198" s="335" t="s">
        <v>146</v>
      </c>
      <c r="C198" s="335"/>
      <c r="D198" s="315"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0.97</v>
      </c>
      <c r="X198" s="252">
        <v>0.97</v>
      </c>
      <c r="Y198" s="252">
        <v>0.97</v>
      </c>
      <c r="Z198" s="252">
        <v>0.97</v>
      </c>
      <c r="AA198" s="19"/>
      <c r="AB198" s="252">
        <v>0.97</v>
      </c>
      <c r="AC198" s="252">
        <v>1</v>
      </c>
      <c r="AD198" s="252">
        <v>1</v>
      </c>
      <c r="AE198" s="252">
        <v>1</v>
      </c>
      <c r="AF198" s="252">
        <v>1</v>
      </c>
      <c r="AG198" s="19"/>
      <c r="AH198" s="252">
        <v>1</v>
      </c>
    </row>
    <row r="199" spans="1:34" ht="40.200000000000003" customHeight="1" x14ac:dyDescent="0.2">
      <c r="A199" s="339"/>
      <c r="B199" s="335"/>
      <c r="C199" s="335"/>
      <c r="D199" s="315"/>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9.5" customHeight="1" x14ac:dyDescent="0.2">
      <c r="A200" s="339"/>
      <c r="B200" s="335" t="s">
        <v>147</v>
      </c>
      <c r="C200" s="335"/>
      <c r="D200" s="79" t="s">
        <v>100</v>
      </c>
      <c r="E200" s="250">
        <v>1.1000000000000001</v>
      </c>
      <c r="F200" s="250">
        <v>2.1</v>
      </c>
      <c r="G200" s="250">
        <v>3.1</v>
      </c>
      <c r="H200" s="250">
        <v>4.0999999999999996</v>
      </c>
      <c r="I200" s="26"/>
      <c r="J200" s="250">
        <v>1.1000000000000001</v>
      </c>
      <c r="K200" s="250">
        <v>1.1000000000000001</v>
      </c>
      <c r="L200" s="250">
        <v>1.1000000000000001</v>
      </c>
      <c r="M200" s="250">
        <v>1.1000000000000001</v>
      </c>
      <c r="N200" s="250">
        <v>1.1000000000000001</v>
      </c>
      <c r="O200" s="26"/>
      <c r="P200" s="250">
        <v>1.1000000000000001</v>
      </c>
      <c r="Q200" s="250">
        <v>1.1000000000000001</v>
      </c>
      <c r="R200" s="250">
        <v>1.1000000000000001</v>
      </c>
      <c r="S200" s="250">
        <v>1.1000000000000001</v>
      </c>
      <c r="T200" s="250">
        <v>1.1000000000000001</v>
      </c>
      <c r="U200" s="26"/>
      <c r="V200" s="250">
        <v>1.1000000000000001</v>
      </c>
      <c r="W200" s="250">
        <v>1.1000000000000001</v>
      </c>
      <c r="X200" s="250">
        <v>1.1000000000000001</v>
      </c>
      <c r="Y200" s="250">
        <v>1.1000000000000001</v>
      </c>
      <c r="Z200" s="250">
        <v>1.1000000000000001</v>
      </c>
      <c r="AA200" s="26"/>
      <c r="AB200" s="250">
        <v>1.1000000000000001</v>
      </c>
      <c r="AC200" s="250">
        <v>0.45</v>
      </c>
      <c r="AD200" s="250">
        <v>0.45</v>
      </c>
      <c r="AE200" s="250">
        <v>0.45</v>
      </c>
      <c r="AF200" s="250">
        <v>0.45</v>
      </c>
      <c r="AG200" s="26"/>
      <c r="AH200" s="250">
        <v>0.45</v>
      </c>
    </row>
    <row r="201" spans="1:34" ht="43.8" customHeight="1" x14ac:dyDescent="0.2">
      <c r="A201" s="339"/>
      <c r="B201" s="335"/>
      <c r="C201" s="335"/>
      <c r="D201" s="80" t="s">
        <v>31</v>
      </c>
      <c r="E201" s="311"/>
      <c r="F201" s="311"/>
      <c r="G201" s="311"/>
      <c r="H201" s="311"/>
      <c r="I201" s="26"/>
      <c r="J201" s="311"/>
      <c r="K201" s="311"/>
      <c r="L201" s="311"/>
      <c r="M201" s="311"/>
      <c r="N201" s="311"/>
      <c r="O201" s="26"/>
      <c r="P201" s="311"/>
      <c r="Q201" s="311"/>
      <c r="R201" s="311"/>
      <c r="S201" s="311"/>
      <c r="T201" s="311"/>
      <c r="U201" s="26"/>
      <c r="V201" s="311"/>
      <c r="W201" s="311"/>
      <c r="X201" s="311"/>
      <c r="Y201" s="311"/>
      <c r="Z201" s="311"/>
      <c r="AA201" s="26"/>
      <c r="AB201" s="311"/>
      <c r="AC201" s="311"/>
      <c r="AD201" s="311"/>
      <c r="AE201" s="311"/>
      <c r="AF201" s="311"/>
      <c r="AG201" s="26"/>
      <c r="AH201" s="311"/>
    </row>
    <row r="202" spans="1:34" x14ac:dyDescent="0.2">
      <c r="A202" s="339"/>
      <c r="B202" s="327" t="s">
        <v>42</v>
      </c>
      <c r="C202" s="331" t="s">
        <v>26</v>
      </c>
      <c r="D202" s="315" t="s">
        <v>78</v>
      </c>
      <c r="E202" s="310">
        <v>1</v>
      </c>
      <c r="F202" s="310">
        <v>1</v>
      </c>
      <c r="G202" s="310">
        <v>1</v>
      </c>
      <c r="H202" s="310">
        <v>1</v>
      </c>
      <c r="I202" s="26"/>
      <c r="J202" s="310">
        <v>1</v>
      </c>
      <c r="K202" s="310">
        <v>1</v>
      </c>
      <c r="L202" s="310">
        <v>1</v>
      </c>
      <c r="M202" s="310">
        <v>1</v>
      </c>
      <c r="N202" s="310">
        <v>1</v>
      </c>
      <c r="O202" s="26"/>
      <c r="P202" s="310">
        <v>1</v>
      </c>
      <c r="Q202" s="310">
        <v>1</v>
      </c>
      <c r="R202" s="310">
        <v>1</v>
      </c>
      <c r="S202" s="310">
        <v>1</v>
      </c>
      <c r="T202" s="310">
        <v>1</v>
      </c>
      <c r="U202" s="26"/>
      <c r="V202" s="310">
        <v>1</v>
      </c>
      <c r="W202" s="310">
        <v>1</v>
      </c>
      <c r="X202" s="310">
        <v>1</v>
      </c>
      <c r="Y202" s="310">
        <v>1</v>
      </c>
      <c r="Z202" s="310">
        <v>1</v>
      </c>
      <c r="AA202" s="26"/>
      <c r="AB202" s="310">
        <v>1</v>
      </c>
      <c r="AC202" s="310">
        <v>1</v>
      </c>
      <c r="AD202" s="310">
        <v>1</v>
      </c>
      <c r="AE202" s="310">
        <v>1</v>
      </c>
      <c r="AF202" s="310">
        <v>1</v>
      </c>
      <c r="AG202" s="26"/>
      <c r="AH202" s="310">
        <v>1</v>
      </c>
    </row>
    <row r="203" spans="1:34" x14ac:dyDescent="0.2">
      <c r="A203" s="339"/>
      <c r="B203" s="327"/>
      <c r="C203" s="331"/>
      <c r="D203" s="315"/>
      <c r="E203" s="310"/>
      <c r="F203" s="310"/>
      <c r="G203" s="310"/>
      <c r="H203" s="310"/>
      <c r="I203" s="26"/>
      <c r="J203" s="310"/>
      <c r="K203" s="310"/>
      <c r="L203" s="310"/>
      <c r="M203" s="310"/>
      <c r="N203" s="310"/>
      <c r="O203" s="26"/>
      <c r="P203" s="310"/>
      <c r="Q203" s="310"/>
      <c r="R203" s="310"/>
      <c r="S203" s="310"/>
      <c r="T203" s="310"/>
      <c r="U203" s="26"/>
      <c r="V203" s="310"/>
      <c r="W203" s="310"/>
      <c r="X203" s="310"/>
      <c r="Y203" s="310"/>
      <c r="Z203" s="310"/>
      <c r="AA203" s="26"/>
      <c r="AB203" s="310"/>
      <c r="AC203" s="310"/>
      <c r="AD203" s="310"/>
      <c r="AE203" s="310"/>
      <c r="AF203" s="310"/>
      <c r="AG203" s="26"/>
      <c r="AH203" s="310"/>
    </row>
    <row r="204" spans="1:34" x14ac:dyDescent="0.2">
      <c r="A204" s="339"/>
      <c r="B204" s="327"/>
      <c r="C204" s="331" t="s">
        <v>7</v>
      </c>
      <c r="D204" s="315" t="s">
        <v>78</v>
      </c>
      <c r="E204" s="310">
        <v>1</v>
      </c>
      <c r="F204" s="310">
        <v>1</v>
      </c>
      <c r="G204" s="310">
        <v>1</v>
      </c>
      <c r="H204" s="310">
        <v>1</v>
      </c>
      <c r="I204" s="26"/>
      <c r="J204" s="310">
        <v>1</v>
      </c>
      <c r="K204" s="310">
        <v>1</v>
      </c>
      <c r="L204" s="310">
        <v>1</v>
      </c>
      <c r="M204" s="310">
        <v>1</v>
      </c>
      <c r="N204" s="310">
        <v>1</v>
      </c>
      <c r="O204" s="26"/>
      <c r="P204" s="310">
        <v>1</v>
      </c>
      <c r="Q204" s="310">
        <v>1</v>
      </c>
      <c r="R204" s="310">
        <v>1</v>
      </c>
      <c r="S204" s="310">
        <v>1</v>
      </c>
      <c r="T204" s="310">
        <v>1</v>
      </c>
      <c r="U204" s="26"/>
      <c r="V204" s="310">
        <v>1</v>
      </c>
      <c r="W204" s="310">
        <v>1</v>
      </c>
      <c r="X204" s="310">
        <v>1</v>
      </c>
      <c r="Y204" s="310">
        <v>1</v>
      </c>
      <c r="Z204" s="310">
        <v>1</v>
      </c>
      <c r="AA204" s="26"/>
      <c r="AB204" s="310">
        <v>1</v>
      </c>
      <c r="AC204" s="310">
        <v>1</v>
      </c>
      <c r="AD204" s="310">
        <v>1</v>
      </c>
      <c r="AE204" s="310">
        <v>1</v>
      </c>
      <c r="AF204" s="310">
        <v>1</v>
      </c>
      <c r="AG204" s="26"/>
      <c r="AH204" s="310">
        <v>1</v>
      </c>
    </row>
    <row r="205" spans="1:34" x14ac:dyDescent="0.2">
      <c r="A205" s="339"/>
      <c r="B205" s="327"/>
      <c r="C205" s="331"/>
      <c r="D205" s="315"/>
      <c r="E205" s="310"/>
      <c r="F205" s="310"/>
      <c r="G205" s="310"/>
      <c r="H205" s="310"/>
      <c r="I205" s="26"/>
      <c r="J205" s="310"/>
      <c r="K205" s="310"/>
      <c r="L205" s="310"/>
      <c r="M205" s="310"/>
      <c r="N205" s="310"/>
      <c r="O205" s="26"/>
      <c r="P205" s="310"/>
      <c r="Q205" s="310"/>
      <c r="R205" s="310"/>
      <c r="S205" s="310"/>
      <c r="T205" s="310"/>
      <c r="U205" s="26"/>
      <c r="V205" s="310"/>
      <c r="W205" s="310"/>
      <c r="X205" s="310"/>
      <c r="Y205" s="310"/>
      <c r="Z205" s="310"/>
      <c r="AA205" s="26"/>
      <c r="AB205" s="310"/>
      <c r="AC205" s="310"/>
      <c r="AD205" s="310"/>
      <c r="AE205" s="310"/>
      <c r="AF205" s="310"/>
      <c r="AG205" s="26"/>
      <c r="AH205" s="310"/>
    </row>
    <row r="206" spans="1:34" x14ac:dyDescent="0.2">
      <c r="A206" s="339"/>
      <c r="B206" s="327"/>
      <c r="C206" s="331" t="s">
        <v>8</v>
      </c>
      <c r="D206" s="315" t="s">
        <v>78</v>
      </c>
      <c r="E206" s="310">
        <v>1</v>
      </c>
      <c r="F206" s="310">
        <v>1</v>
      </c>
      <c r="G206" s="310">
        <v>1</v>
      </c>
      <c r="H206" s="310">
        <v>1</v>
      </c>
      <c r="I206" s="26"/>
      <c r="J206" s="310">
        <v>1</v>
      </c>
      <c r="K206" s="310">
        <v>1</v>
      </c>
      <c r="L206" s="310">
        <v>1</v>
      </c>
      <c r="M206" s="310">
        <v>1</v>
      </c>
      <c r="N206" s="310">
        <v>1</v>
      </c>
      <c r="O206" s="26"/>
      <c r="P206" s="310">
        <v>1</v>
      </c>
      <c r="Q206" s="310">
        <v>1</v>
      </c>
      <c r="R206" s="310">
        <v>1</v>
      </c>
      <c r="S206" s="310">
        <v>1</v>
      </c>
      <c r="T206" s="310">
        <v>1</v>
      </c>
      <c r="U206" s="26"/>
      <c r="V206" s="310">
        <v>1</v>
      </c>
      <c r="W206" s="310">
        <v>1</v>
      </c>
      <c r="X206" s="310">
        <v>1</v>
      </c>
      <c r="Y206" s="310">
        <v>1</v>
      </c>
      <c r="Z206" s="310">
        <v>1</v>
      </c>
      <c r="AA206" s="26"/>
      <c r="AB206" s="310">
        <v>1</v>
      </c>
      <c r="AC206" s="310">
        <v>1</v>
      </c>
      <c r="AD206" s="310">
        <v>1</v>
      </c>
      <c r="AE206" s="310">
        <v>1</v>
      </c>
      <c r="AF206" s="310">
        <v>1</v>
      </c>
      <c r="AG206" s="26"/>
      <c r="AH206" s="310">
        <v>1</v>
      </c>
    </row>
    <row r="207" spans="1:34" x14ac:dyDescent="0.2">
      <c r="A207" s="339"/>
      <c r="B207" s="327"/>
      <c r="C207" s="331"/>
      <c r="D207" s="315"/>
      <c r="E207" s="310"/>
      <c r="F207" s="310"/>
      <c r="G207" s="310"/>
      <c r="H207" s="310"/>
      <c r="I207" s="26"/>
      <c r="J207" s="310"/>
      <c r="K207" s="310"/>
      <c r="L207" s="310"/>
      <c r="M207" s="310"/>
      <c r="N207" s="310"/>
      <c r="O207" s="26"/>
      <c r="P207" s="310"/>
      <c r="Q207" s="310"/>
      <c r="R207" s="310"/>
      <c r="S207" s="310"/>
      <c r="T207" s="310"/>
      <c r="U207" s="26"/>
      <c r="V207" s="310"/>
      <c r="W207" s="310"/>
      <c r="X207" s="310"/>
      <c r="Y207" s="310"/>
      <c r="Z207" s="310"/>
      <c r="AA207" s="26"/>
      <c r="AB207" s="310"/>
      <c r="AC207" s="310"/>
      <c r="AD207" s="310"/>
      <c r="AE207" s="310"/>
      <c r="AF207" s="310"/>
      <c r="AG207" s="26"/>
      <c r="AH207" s="310"/>
    </row>
    <row r="208" spans="1:34" x14ac:dyDescent="0.2">
      <c r="A208" s="339"/>
      <c r="B208" s="332" t="s">
        <v>130</v>
      </c>
      <c r="C208" s="332"/>
      <c r="D208" s="315" t="s">
        <v>78</v>
      </c>
      <c r="E208" s="310">
        <f>50.31/60</f>
        <v>0.83850000000000002</v>
      </c>
      <c r="F208" s="310">
        <f>50.31/60</f>
        <v>0.83850000000000002</v>
      </c>
      <c r="G208" s="310">
        <f>50.31/60</f>
        <v>0.83850000000000002</v>
      </c>
      <c r="H208" s="310">
        <f>50.31/60</f>
        <v>0.83850000000000002</v>
      </c>
      <c r="I208" s="19"/>
      <c r="J208" s="310">
        <f>50.31/60</f>
        <v>0.83850000000000002</v>
      </c>
      <c r="K208" s="310">
        <f>50.31/60</f>
        <v>0.83850000000000002</v>
      </c>
      <c r="L208" s="310">
        <f>50.31/60</f>
        <v>0.83850000000000002</v>
      </c>
      <c r="M208" s="310">
        <f>50.31/60</f>
        <v>0.83850000000000002</v>
      </c>
      <c r="N208" s="310">
        <f>50.31/60</f>
        <v>0.83850000000000002</v>
      </c>
      <c r="O208" s="19"/>
      <c r="P208" s="310">
        <f>50.31/60</f>
        <v>0.83850000000000002</v>
      </c>
      <c r="Q208" s="310">
        <f>50.31/60</f>
        <v>0.83850000000000002</v>
      </c>
      <c r="R208" s="310">
        <f>50.31/60</f>
        <v>0.83850000000000002</v>
      </c>
      <c r="S208" s="310">
        <f>50.31/60</f>
        <v>0.83850000000000002</v>
      </c>
      <c r="T208" s="310">
        <f>50.31/60</f>
        <v>0.83850000000000002</v>
      </c>
      <c r="U208" s="19"/>
      <c r="V208" s="310">
        <f>50.31/60</f>
        <v>0.83850000000000002</v>
      </c>
      <c r="W208" s="310">
        <f>(50.31+1.63)/60</f>
        <v>0.8656666666666667</v>
      </c>
      <c r="X208" s="310">
        <f>(50.31+1.63)/60</f>
        <v>0.8656666666666667</v>
      </c>
      <c r="Y208" s="310">
        <f>(50.31+1.63)/60</f>
        <v>0.8656666666666667</v>
      </c>
      <c r="Z208" s="310">
        <f>(50.31+1.63)/60</f>
        <v>0.8656666666666667</v>
      </c>
      <c r="AA208" s="19"/>
      <c r="AB208" s="310">
        <f>(50.31+1.63)/60</f>
        <v>0.8656666666666667</v>
      </c>
      <c r="AC208" s="310">
        <f>(50.31+1.63)/60</f>
        <v>0.8656666666666667</v>
      </c>
      <c r="AD208" s="310">
        <f>(50.31+1.63)/60</f>
        <v>0.8656666666666667</v>
      </c>
      <c r="AE208" s="310">
        <f>(50.31+1.63)/60</f>
        <v>0.8656666666666667</v>
      </c>
      <c r="AF208" s="310">
        <f>(50.31+1.63)/60</f>
        <v>0.8656666666666667</v>
      </c>
      <c r="AG208" s="19"/>
      <c r="AH208" s="310">
        <f>(50.31+1.63)/60</f>
        <v>0.8656666666666667</v>
      </c>
    </row>
    <row r="209" spans="1:34" ht="37.200000000000003" customHeight="1" x14ac:dyDescent="0.2">
      <c r="A209" s="339"/>
      <c r="B209" s="332"/>
      <c r="C209" s="332"/>
      <c r="D209" s="315"/>
      <c r="E209" s="310"/>
      <c r="F209" s="310"/>
      <c r="G209" s="310"/>
      <c r="H209" s="310"/>
      <c r="I209" s="19"/>
      <c r="J209" s="310"/>
      <c r="K209" s="310"/>
      <c r="L209" s="310"/>
      <c r="M209" s="310"/>
      <c r="N209" s="310"/>
      <c r="O209" s="19"/>
      <c r="P209" s="310"/>
      <c r="Q209" s="310"/>
      <c r="R209" s="310"/>
      <c r="S209" s="310"/>
      <c r="T209" s="310"/>
      <c r="U209" s="19"/>
      <c r="V209" s="310"/>
      <c r="W209" s="310"/>
      <c r="X209" s="310"/>
      <c r="Y209" s="310"/>
      <c r="Z209" s="310"/>
      <c r="AA209" s="19"/>
      <c r="AB209" s="310"/>
      <c r="AC209" s="310"/>
      <c r="AD209" s="310"/>
      <c r="AE209" s="310"/>
      <c r="AF209" s="310"/>
      <c r="AG209" s="19"/>
      <c r="AH209" s="310"/>
    </row>
    <row r="210" spans="1:34" ht="15.75" customHeight="1" x14ac:dyDescent="0.2">
      <c r="A210" s="339"/>
      <c r="B210" s="284" t="s">
        <v>131</v>
      </c>
      <c r="C210" s="284"/>
      <c r="D210" s="315" t="s">
        <v>78</v>
      </c>
      <c r="E210" s="312">
        <f>2664/2669</f>
        <v>0.9981266391907081</v>
      </c>
      <c r="F210" s="312">
        <f>2664/2669</f>
        <v>0.9981266391907081</v>
      </c>
      <c r="G210" s="312">
        <f>2664/2669</f>
        <v>0.9981266391907081</v>
      </c>
      <c r="H210" s="312">
        <f>2664/2669</f>
        <v>0.9981266391907081</v>
      </c>
      <c r="I210" s="19"/>
      <c r="J210" s="312">
        <f>2664/2669</f>
        <v>0.9981266391907081</v>
      </c>
      <c r="K210" s="310">
        <f>2669/2669</f>
        <v>1</v>
      </c>
      <c r="L210" s="310">
        <f>2669/2669</f>
        <v>1</v>
      </c>
      <c r="M210" s="310">
        <f>2669/2669</f>
        <v>1</v>
      </c>
      <c r="N210" s="310">
        <f>2669/2669</f>
        <v>1</v>
      </c>
      <c r="O210" s="19"/>
      <c r="P210" s="310">
        <f>2669/2669</f>
        <v>1</v>
      </c>
      <c r="Q210" s="310">
        <v>1</v>
      </c>
      <c r="R210" s="310">
        <v>1</v>
      </c>
      <c r="S210" s="310">
        <v>1</v>
      </c>
      <c r="T210" s="310">
        <v>1</v>
      </c>
      <c r="U210" s="19"/>
      <c r="V210" s="310">
        <v>1</v>
      </c>
      <c r="W210" s="310">
        <v>1</v>
      </c>
      <c r="X210" s="310">
        <v>1</v>
      </c>
      <c r="Y210" s="310">
        <v>1</v>
      </c>
      <c r="Z210" s="310">
        <v>1</v>
      </c>
      <c r="AA210" s="19"/>
      <c r="AB210" s="310">
        <v>1</v>
      </c>
      <c r="AC210" s="310">
        <v>1</v>
      </c>
      <c r="AD210" s="310">
        <v>1</v>
      </c>
      <c r="AE210" s="310">
        <v>1</v>
      </c>
      <c r="AF210" s="310">
        <v>1</v>
      </c>
      <c r="AG210" s="19"/>
      <c r="AH210" s="310">
        <v>1</v>
      </c>
    </row>
    <row r="211" spans="1:34" ht="37.200000000000003" customHeight="1" x14ac:dyDescent="0.2">
      <c r="A211" s="339"/>
      <c r="B211" s="284"/>
      <c r="C211" s="284"/>
      <c r="D211" s="315"/>
      <c r="E211" s="312"/>
      <c r="F211" s="312"/>
      <c r="G211" s="312"/>
      <c r="H211" s="312"/>
      <c r="I211" s="19"/>
      <c r="J211" s="312"/>
      <c r="K211" s="310"/>
      <c r="L211" s="310"/>
      <c r="M211" s="310"/>
      <c r="N211" s="310"/>
      <c r="O211" s="19"/>
      <c r="P211" s="310"/>
      <c r="Q211" s="310"/>
      <c r="R211" s="310"/>
      <c r="S211" s="310"/>
      <c r="T211" s="310"/>
      <c r="U211" s="19"/>
      <c r="V211" s="310"/>
      <c r="W211" s="310"/>
      <c r="X211" s="310"/>
      <c r="Y211" s="310"/>
      <c r="Z211" s="310"/>
      <c r="AA211" s="19"/>
      <c r="AB211" s="310"/>
      <c r="AC211" s="310"/>
      <c r="AD211" s="310"/>
      <c r="AE211" s="310"/>
      <c r="AF211" s="310"/>
      <c r="AG211" s="19"/>
      <c r="AH211" s="310"/>
    </row>
    <row r="212" spans="1:34" ht="21.75" customHeight="1" x14ac:dyDescent="0.2">
      <c r="A212" s="65">
        <v>2.2000000000000002</v>
      </c>
      <c r="B212" s="346" t="s">
        <v>33</v>
      </c>
      <c r="C212" s="347"/>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28.2" customHeight="1" x14ac:dyDescent="0.2">
      <c r="A213" s="339"/>
      <c r="B213" s="327" t="s">
        <v>43</v>
      </c>
      <c r="C213" s="327"/>
      <c r="D213" s="315" t="s">
        <v>78</v>
      </c>
      <c r="E213" s="310">
        <f>46.31/60</f>
        <v>0.77183333333333337</v>
      </c>
      <c r="F213" s="310">
        <f>46.31/60</f>
        <v>0.77183333333333337</v>
      </c>
      <c r="G213" s="310">
        <f>46.31/60</f>
        <v>0.77183333333333337</v>
      </c>
      <c r="H213" s="310">
        <f>46.31/60</f>
        <v>0.77183333333333337</v>
      </c>
      <c r="I213" s="19"/>
      <c r="J213" s="310">
        <f>46.31/60</f>
        <v>0.77183333333333337</v>
      </c>
      <c r="K213" s="310">
        <f>46.31/60</f>
        <v>0.77183333333333337</v>
      </c>
      <c r="L213" s="310">
        <f>46.31/60</f>
        <v>0.77183333333333337</v>
      </c>
      <c r="M213" s="310">
        <f>46.31/60</f>
        <v>0.77183333333333337</v>
      </c>
      <c r="N213" s="310">
        <f>46.31/60</f>
        <v>0.77183333333333337</v>
      </c>
      <c r="O213" s="19"/>
      <c r="P213" s="310">
        <f>46.31/60</f>
        <v>0.77183333333333337</v>
      </c>
      <c r="Q213" s="310">
        <f>46.31/60</f>
        <v>0.77183333333333337</v>
      </c>
      <c r="R213" s="310">
        <f>46.31/60</f>
        <v>0.77183333333333337</v>
      </c>
      <c r="S213" s="310">
        <f>46.31/60</f>
        <v>0.77183333333333337</v>
      </c>
      <c r="T213" s="310">
        <f>46.31/60</f>
        <v>0.77183333333333337</v>
      </c>
      <c r="U213" s="19"/>
      <c r="V213" s="310">
        <f>46.31/60</f>
        <v>0.77183333333333337</v>
      </c>
      <c r="W213" s="310">
        <f>(46.31+0.73)/60</f>
        <v>0.78400000000000003</v>
      </c>
      <c r="X213" s="310">
        <f>(46.31+0.73)/60</f>
        <v>0.78400000000000003</v>
      </c>
      <c r="Y213" s="310">
        <f>(46.31+0.73)/60</f>
        <v>0.78400000000000003</v>
      </c>
      <c r="Z213" s="310">
        <f>(46.31+0.73)/60</f>
        <v>0.78400000000000003</v>
      </c>
      <c r="AA213" s="19"/>
      <c r="AB213" s="310">
        <f>(46.31+0.73)/60</f>
        <v>0.78400000000000003</v>
      </c>
      <c r="AC213" s="310">
        <f>(46.31+0.73)/60</f>
        <v>0.78400000000000003</v>
      </c>
      <c r="AD213" s="310">
        <f>(46.31+0.73)/60</f>
        <v>0.78400000000000003</v>
      </c>
      <c r="AE213" s="310">
        <f>(46.31+0.73)/60</f>
        <v>0.78400000000000003</v>
      </c>
      <c r="AF213" s="310">
        <f>(46.31+0.73)/60</f>
        <v>0.78400000000000003</v>
      </c>
      <c r="AG213" s="19"/>
      <c r="AH213" s="310">
        <f>(46.31+0.73)/60</f>
        <v>0.78400000000000003</v>
      </c>
    </row>
    <row r="214" spans="1:34" x14ac:dyDescent="0.2">
      <c r="A214" s="339"/>
      <c r="B214" s="327"/>
      <c r="C214" s="327"/>
      <c r="D214" s="315"/>
      <c r="E214" s="310"/>
      <c r="F214" s="310"/>
      <c r="G214" s="310"/>
      <c r="H214" s="310"/>
      <c r="I214" s="19"/>
      <c r="J214" s="310"/>
      <c r="K214" s="310"/>
      <c r="L214" s="310"/>
      <c r="M214" s="310"/>
      <c r="N214" s="310"/>
      <c r="O214" s="19"/>
      <c r="P214" s="310"/>
      <c r="Q214" s="310"/>
      <c r="R214" s="310"/>
      <c r="S214" s="310"/>
      <c r="T214" s="310"/>
      <c r="U214" s="19"/>
      <c r="V214" s="310"/>
      <c r="W214" s="310"/>
      <c r="X214" s="310"/>
      <c r="Y214" s="310"/>
      <c r="Z214" s="310"/>
      <c r="AA214" s="19"/>
      <c r="AB214" s="310"/>
      <c r="AC214" s="310"/>
      <c r="AD214" s="310"/>
      <c r="AE214" s="310"/>
      <c r="AF214" s="310"/>
      <c r="AG214" s="19"/>
      <c r="AH214" s="310"/>
    </row>
    <row r="215" spans="1:34" x14ac:dyDescent="0.2">
      <c r="A215" s="339"/>
      <c r="B215" s="327" t="s">
        <v>44</v>
      </c>
      <c r="C215" s="327"/>
      <c r="D215" s="315" t="s">
        <v>78</v>
      </c>
      <c r="E215" s="310">
        <v>1</v>
      </c>
      <c r="F215" s="310">
        <v>1</v>
      </c>
      <c r="G215" s="310">
        <v>1</v>
      </c>
      <c r="H215" s="310">
        <v>1</v>
      </c>
      <c r="I215" s="19"/>
      <c r="J215" s="310">
        <v>1</v>
      </c>
      <c r="K215" s="310">
        <v>1</v>
      </c>
      <c r="L215" s="310">
        <v>1</v>
      </c>
      <c r="M215" s="310">
        <v>1</v>
      </c>
      <c r="N215" s="310">
        <v>1</v>
      </c>
      <c r="O215" s="19"/>
      <c r="P215" s="310">
        <v>1</v>
      </c>
      <c r="Q215" s="310">
        <v>1</v>
      </c>
      <c r="R215" s="310">
        <v>1</v>
      </c>
      <c r="S215" s="310">
        <v>1</v>
      </c>
      <c r="T215" s="310">
        <v>1</v>
      </c>
      <c r="U215" s="19"/>
      <c r="V215" s="310">
        <v>1</v>
      </c>
      <c r="W215" s="310">
        <f>46.31/(46.31+0.73)</f>
        <v>0.98448129251700689</v>
      </c>
      <c r="X215" s="310">
        <f>46.31/(46.31+0.73)</f>
        <v>0.98448129251700689</v>
      </c>
      <c r="Y215" s="310">
        <f>46.31/(46.31+0.73)</f>
        <v>0.98448129251700689</v>
      </c>
      <c r="Z215" s="310">
        <f>46.31/(46.31+0.73)</f>
        <v>0.98448129251700689</v>
      </c>
      <c r="AA215" s="19"/>
      <c r="AB215" s="310">
        <f>46.31/(46.31+0.73)</f>
        <v>0.98448129251700689</v>
      </c>
      <c r="AC215" s="310">
        <v>1</v>
      </c>
      <c r="AD215" s="310">
        <v>1</v>
      </c>
      <c r="AE215" s="310">
        <v>1</v>
      </c>
      <c r="AF215" s="310">
        <v>1</v>
      </c>
      <c r="AG215" s="19"/>
      <c r="AH215" s="310">
        <v>1</v>
      </c>
    </row>
    <row r="216" spans="1:34" ht="39.6" customHeight="1" x14ac:dyDescent="0.2">
      <c r="A216" s="339"/>
      <c r="B216" s="327"/>
      <c r="C216" s="327"/>
      <c r="D216" s="315"/>
      <c r="E216" s="310"/>
      <c r="F216" s="310"/>
      <c r="G216" s="310"/>
      <c r="H216" s="310"/>
      <c r="I216" s="19"/>
      <c r="J216" s="310"/>
      <c r="K216" s="310"/>
      <c r="L216" s="310"/>
      <c r="M216" s="310"/>
      <c r="N216" s="310"/>
      <c r="O216" s="19"/>
      <c r="P216" s="310"/>
      <c r="Q216" s="310"/>
      <c r="R216" s="310"/>
      <c r="S216" s="310"/>
      <c r="T216" s="310"/>
      <c r="U216" s="19"/>
      <c r="V216" s="310"/>
      <c r="W216" s="310"/>
      <c r="X216" s="310"/>
      <c r="Y216" s="310"/>
      <c r="Z216" s="310"/>
      <c r="AA216" s="19"/>
      <c r="AB216" s="310"/>
      <c r="AC216" s="310"/>
      <c r="AD216" s="310"/>
      <c r="AE216" s="310"/>
      <c r="AF216" s="310"/>
      <c r="AG216" s="19"/>
      <c r="AH216" s="310"/>
    </row>
    <row r="217" spans="1:34" ht="43.2" customHeight="1" x14ac:dyDescent="0.2">
      <c r="A217" s="339"/>
      <c r="B217" s="327" t="s">
        <v>153</v>
      </c>
      <c r="C217" s="327"/>
      <c r="D217" s="79" t="s">
        <v>100</v>
      </c>
      <c r="E217" s="250">
        <v>0.6</v>
      </c>
      <c r="F217" s="250">
        <v>0.6</v>
      </c>
      <c r="G217" s="250">
        <v>0.6</v>
      </c>
      <c r="H217" s="250">
        <v>0.6</v>
      </c>
      <c r="I217" s="26"/>
      <c r="J217" s="250">
        <v>0.6</v>
      </c>
      <c r="K217" s="250">
        <v>0.6</v>
      </c>
      <c r="L217" s="250">
        <v>0.6</v>
      </c>
      <c r="M217" s="250">
        <v>0.6</v>
      </c>
      <c r="N217" s="250">
        <v>0.6</v>
      </c>
      <c r="O217" s="26"/>
      <c r="P217" s="250">
        <v>0.6</v>
      </c>
      <c r="Q217" s="250">
        <v>0.6</v>
      </c>
      <c r="R217" s="250">
        <v>0.6</v>
      </c>
      <c r="S217" s="250">
        <v>0.6</v>
      </c>
      <c r="T217" s="250">
        <v>0.6</v>
      </c>
      <c r="U217" s="26"/>
      <c r="V217" s="250">
        <v>0.6</v>
      </c>
      <c r="W217" s="250">
        <v>0.6</v>
      </c>
      <c r="X217" s="250">
        <v>0.6</v>
      </c>
      <c r="Y217" s="250">
        <v>0.6</v>
      </c>
      <c r="Z217" s="250">
        <v>0.6</v>
      </c>
      <c r="AA217" s="26"/>
      <c r="AB217" s="250">
        <v>0.6</v>
      </c>
      <c r="AC217" s="250">
        <v>0.6</v>
      </c>
      <c r="AD217" s="250">
        <v>0.6</v>
      </c>
      <c r="AE217" s="250">
        <v>0.6</v>
      </c>
      <c r="AF217" s="250">
        <v>0.6</v>
      </c>
      <c r="AG217" s="26"/>
      <c r="AH217" s="250">
        <v>0.6</v>
      </c>
    </row>
    <row r="218" spans="1:34" ht="34.200000000000003" customHeight="1" x14ac:dyDescent="0.2">
      <c r="A218" s="339"/>
      <c r="B218" s="327"/>
      <c r="C218" s="327"/>
      <c r="D218" s="81" t="s">
        <v>31</v>
      </c>
      <c r="E218" s="311"/>
      <c r="F218" s="311"/>
      <c r="G218" s="311"/>
      <c r="H218" s="311"/>
      <c r="I218" s="26"/>
      <c r="J218" s="311"/>
      <c r="K218" s="311"/>
      <c r="L218" s="311"/>
      <c r="M218" s="311"/>
      <c r="N218" s="311"/>
      <c r="O218" s="26"/>
      <c r="P218" s="311"/>
      <c r="Q218" s="311"/>
      <c r="R218" s="311"/>
      <c r="S218" s="311"/>
      <c r="T218" s="311"/>
      <c r="U218" s="26"/>
      <c r="V218" s="311"/>
      <c r="W218" s="311"/>
      <c r="X218" s="311"/>
      <c r="Y218" s="311"/>
      <c r="Z218" s="311"/>
      <c r="AA218" s="26"/>
      <c r="AB218" s="311"/>
      <c r="AC218" s="311"/>
      <c r="AD218" s="311"/>
      <c r="AE218" s="311"/>
      <c r="AF218" s="311"/>
      <c r="AG218" s="26"/>
      <c r="AH218" s="311"/>
    </row>
    <row r="219" spans="1:34" x14ac:dyDescent="0.2">
      <c r="A219" s="82"/>
      <c r="B219" s="73"/>
      <c r="C219" s="73"/>
      <c r="D219" s="7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65" t="s">
        <v>34</v>
      </c>
      <c r="B220" s="83"/>
      <c r="C220" s="83"/>
      <c r="D220" s="83"/>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65"/>
      <c r="B221" s="83"/>
      <c r="C221" s="83"/>
      <c r="D221" s="83"/>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334"/>
      <c r="B222" s="333" t="s">
        <v>38</v>
      </c>
      <c r="C222" s="334"/>
      <c r="D222" s="69"/>
      <c r="E222" s="22">
        <v>2026</v>
      </c>
      <c r="F222" s="22"/>
      <c r="G222" s="316"/>
      <c r="H222" s="316"/>
      <c r="I222" s="21" t="s">
        <v>5</v>
      </c>
      <c r="J222" s="21"/>
      <c r="K222" s="22">
        <v>2027</v>
      </c>
      <c r="L222" s="22"/>
      <c r="M222" s="316"/>
      <c r="N222" s="316"/>
      <c r="O222" s="21" t="s">
        <v>5</v>
      </c>
      <c r="P222" s="21"/>
      <c r="Q222" s="22">
        <v>2028</v>
      </c>
      <c r="R222" s="22"/>
      <c r="S222" s="316"/>
      <c r="T222" s="316"/>
      <c r="U222" s="21" t="s">
        <v>5</v>
      </c>
      <c r="V222" s="21"/>
      <c r="W222" s="22"/>
      <c r="X222" s="22"/>
      <c r="Y222" s="316">
        <v>2029</v>
      </c>
      <c r="Z222" s="316"/>
      <c r="AA222" s="21" t="s">
        <v>5</v>
      </c>
      <c r="AB222" s="21"/>
      <c r="AC222" s="22">
        <v>2030</v>
      </c>
      <c r="AD222" s="22"/>
      <c r="AE222" s="316"/>
      <c r="AF222" s="316"/>
      <c r="AG222" s="21" t="s">
        <v>5</v>
      </c>
      <c r="AH222" s="21"/>
    </row>
    <row r="223" spans="1:34" ht="23.25" customHeight="1" x14ac:dyDescent="0.2">
      <c r="A223" s="334"/>
      <c r="B223" s="333"/>
      <c r="C223" s="334"/>
      <c r="D223" s="84"/>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69">
        <v>0</v>
      </c>
      <c r="B224" s="69">
        <v>1</v>
      </c>
      <c r="C224" s="69">
        <v>2</v>
      </c>
      <c r="D224" s="69">
        <v>3</v>
      </c>
      <c r="E224" s="69" t="s">
        <v>113</v>
      </c>
      <c r="F224" s="69" t="s">
        <v>114</v>
      </c>
      <c r="G224" s="69" t="s">
        <v>115</v>
      </c>
      <c r="H224" s="69" t="s">
        <v>116</v>
      </c>
      <c r="I224" s="69"/>
      <c r="J224" s="69"/>
      <c r="K224" s="69" t="s">
        <v>113</v>
      </c>
      <c r="L224" s="69" t="s">
        <v>114</v>
      </c>
      <c r="M224" s="69" t="s">
        <v>115</v>
      </c>
      <c r="N224" s="69" t="s">
        <v>116</v>
      </c>
      <c r="O224" s="69"/>
      <c r="P224" s="69"/>
      <c r="Q224" s="69" t="s">
        <v>113</v>
      </c>
      <c r="R224" s="69" t="s">
        <v>114</v>
      </c>
      <c r="S224" s="69" t="s">
        <v>115</v>
      </c>
      <c r="T224" s="69" t="s">
        <v>116</v>
      </c>
      <c r="U224" s="69"/>
      <c r="V224" s="69"/>
      <c r="W224" s="69" t="s">
        <v>113</v>
      </c>
      <c r="X224" s="69" t="s">
        <v>114</v>
      </c>
      <c r="Y224" s="69" t="s">
        <v>115</v>
      </c>
      <c r="Z224" s="69" t="s">
        <v>116</v>
      </c>
      <c r="AA224" s="69"/>
      <c r="AB224" s="69"/>
      <c r="AC224" s="69" t="s">
        <v>113</v>
      </c>
      <c r="AD224" s="69" t="s">
        <v>114</v>
      </c>
      <c r="AE224" s="69" t="s">
        <v>115</v>
      </c>
      <c r="AF224" s="69" t="s">
        <v>116</v>
      </c>
      <c r="AG224" s="69"/>
      <c r="AH224" s="69"/>
    </row>
    <row r="225" spans="1:34" ht="15.75" customHeight="1" x14ac:dyDescent="0.2">
      <c r="A225" s="65">
        <v>3.1</v>
      </c>
      <c r="B225" s="317" t="s">
        <v>150</v>
      </c>
      <c r="C225" s="318"/>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2"/>
    </row>
    <row r="226" spans="1:34" ht="20.399999999999999" x14ac:dyDescent="0.2">
      <c r="A226" s="339"/>
      <c r="B226" s="327" t="s">
        <v>45</v>
      </c>
      <c r="C226" s="327"/>
      <c r="D226" s="25" t="s">
        <v>101</v>
      </c>
      <c r="E226" s="23">
        <v>2671</v>
      </c>
      <c r="F226" s="23">
        <v>2673</v>
      </c>
      <c r="G226" s="23">
        <v>2675</v>
      </c>
      <c r="H226" s="23">
        <v>2677</v>
      </c>
      <c r="I226" s="41"/>
      <c r="J226" s="41">
        <f>2669+8</f>
        <v>2677</v>
      </c>
      <c r="K226" s="23">
        <v>2679</v>
      </c>
      <c r="L226" s="23">
        <v>2681</v>
      </c>
      <c r="M226" s="23">
        <v>2683</v>
      </c>
      <c r="N226" s="23">
        <v>2685</v>
      </c>
      <c r="O226" s="41"/>
      <c r="P226" s="41">
        <f>J226+8</f>
        <v>2685</v>
      </c>
      <c r="Q226" s="23">
        <v>2687</v>
      </c>
      <c r="R226" s="23">
        <v>2689</v>
      </c>
      <c r="S226" s="23">
        <v>2691</v>
      </c>
      <c r="T226" s="23">
        <v>2693</v>
      </c>
      <c r="U226" s="23"/>
      <c r="V226" s="41">
        <f>P226+8</f>
        <v>2693</v>
      </c>
      <c r="W226" s="23">
        <v>2695</v>
      </c>
      <c r="X226" s="23">
        <v>2697</v>
      </c>
      <c r="Y226" s="23">
        <v>2699</v>
      </c>
      <c r="Z226" s="23">
        <v>2701</v>
      </c>
      <c r="AA226" s="41"/>
      <c r="AB226" s="93">
        <f>V226+8</f>
        <v>2701</v>
      </c>
      <c r="AC226" s="23">
        <v>2703</v>
      </c>
      <c r="AD226" s="23">
        <v>2705</v>
      </c>
      <c r="AE226" s="23">
        <v>2707</v>
      </c>
      <c r="AF226" s="23">
        <v>2709</v>
      </c>
      <c r="AG226" s="41"/>
      <c r="AH226" s="93">
        <f>AB226+8</f>
        <v>2709</v>
      </c>
    </row>
    <row r="227" spans="1:34" x14ac:dyDescent="0.2">
      <c r="A227" s="339"/>
      <c r="B227" s="327"/>
      <c r="C227" s="327"/>
      <c r="D227" s="25" t="s">
        <v>32</v>
      </c>
      <c r="E227" s="44">
        <v>51.818145999999999</v>
      </c>
      <c r="F227" s="44">
        <v>51.857098000000001</v>
      </c>
      <c r="G227" s="44">
        <v>51.896048999999998</v>
      </c>
      <c r="H227" s="44">
        <v>51.935000000000002</v>
      </c>
      <c r="I227" s="26"/>
      <c r="J227" s="26">
        <f>50.31+1.625</f>
        <v>51.935000000000002</v>
      </c>
      <c r="K227" s="26">
        <f t="shared" ref="K227:AH228" si="0">50.31+1.625</f>
        <v>51.935000000000002</v>
      </c>
      <c r="L227" s="26">
        <f t="shared" si="0"/>
        <v>51.935000000000002</v>
      </c>
      <c r="M227" s="26">
        <f t="shared" si="0"/>
        <v>51.935000000000002</v>
      </c>
      <c r="N227" s="26">
        <f t="shared" si="0"/>
        <v>51.935000000000002</v>
      </c>
      <c r="O227" s="26"/>
      <c r="P227" s="26">
        <f t="shared" si="0"/>
        <v>51.935000000000002</v>
      </c>
      <c r="Q227" s="26">
        <f t="shared" si="0"/>
        <v>51.935000000000002</v>
      </c>
      <c r="R227" s="26">
        <f t="shared" si="0"/>
        <v>51.935000000000002</v>
      </c>
      <c r="S227" s="26">
        <f t="shared" si="0"/>
        <v>51.935000000000002</v>
      </c>
      <c r="T227" s="26">
        <f t="shared" si="0"/>
        <v>51.935000000000002</v>
      </c>
      <c r="U227" s="26"/>
      <c r="V227" s="26">
        <f t="shared" si="0"/>
        <v>51.935000000000002</v>
      </c>
      <c r="W227" s="26">
        <f t="shared" si="0"/>
        <v>51.935000000000002</v>
      </c>
      <c r="X227" s="26">
        <f t="shared" si="0"/>
        <v>51.935000000000002</v>
      </c>
      <c r="Y227" s="26">
        <f t="shared" si="0"/>
        <v>51.935000000000002</v>
      </c>
      <c r="Z227" s="26">
        <f t="shared" si="0"/>
        <v>51.935000000000002</v>
      </c>
      <c r="AA227" s="26"/>
      <c r="AB227" s="26">
        <f t="shared" si="0"/>
        <v>51.935000000000002</v>
      </c>
      <c r="AC227" s="26">
        <f t="shared" si="0"/>
        <v>51.935000000000002</v>
      </c>
      <c r="AD227" s="26">
        <f t="shared" si="0"/>
        <v>51.935000000000002</v>
      </c>
      <c r="AE227" s="26">
        <f t="shared" si="0"/>
        <v>51.935000000000002</v>
      </c>
      <c r="AF227" s="26">
        <f t="shared" si="0"/>
        <v>51.935000000000002</v>
      </c>
      <c r="AG227" s="26"/>
      <c r="AH227" s="26">
        <f t="shared" si="0"/>
        <v>51.935000000000002</v>
      </c>
    </row>
    <row r="228" spans="1:34" x14ac:dyDescent="0.2">
      <c r="A228" s="339"/>
      <c r="B228" s="327" t="s">
        <v>46</v>
      </c>
      <c r="C228" s="327"/>
      <c r="D228" s="25" t="s">
        <v>32</v>
      </c>
      <c r="E228" s="44">
        <v>51.818145999999999</v>
      </c>
      <c r="F228" s="44">
        <v>51.857098000000001</v>
      </c>
      <c r="G228" s="44">
        <v>51.896048999999998</v>
      </c>
      <c r="H228" s="44">
        <v>51.935000000000002</v>
      </c>
      <c r="I228" s="26"/>
      <c r="J228" s="26">
        <f>50.31+1.625</f>
        <v>51.935000000000002</v>
      </c>
      <c r="K228" s="26">
        <f t="shared" si="0"/>
        <v>51.935000000000002</v>
      </c>
      <c r="L228" s="26">
        <f t="shared" si="0"/>
        <v>51.935000000000002</v>
      </c>
      <c r="M228" s="26">
        <f t="shared" si="0"/>
        <v>51.935000000000002</v>
      </c>
      <c r="N228" s="26">
        <f t="shared" si="0"/>
        <v>51.935000000000002</v>
      </c>
      <c r="O228" s="26"/>
      <c r="P228" s="26">
        <f t="shared" si="0"/>
        <v>51.935000000000002</v>
      </c>
      <c r="Q228" s="26">
        <f t="shared" si="0"/>
        <v>51.935000000000002</v>
      </c>
      <c r="R228" s="26">
        <f t="shared" si="0"/>
        <v>51.935000000000002</v>
      </c>
      <c r="S228" s="26">
        <f t="shared" si="0"/>
        <v>51.935000000000002</v>
      </c>
      <c r="T228" s="26">
        <f t="shared" si="0"/>
        <v>51.935000000000002</v>
      </c>
      <c r="U228" s="26"/>
      <c r="V228" s="26">
        <f t="shared" si="0"/>
        <v>51.935000000000002</v>
      </c>
      <c r="W228" s="26">
        <f t="shared" si="0"/>
        <v>51.935000000000002</v>
      </c>
      <c r="X228" s="26">
        <f t="shared" si="0"/>
        <v>51.935000000000002</v>
      </c>
      <c r="Y228" s="26">
        <f t="shared" si="0"/>
        <v>51.935000000000002</v>
      </c>
      <c r="Z228" s="26">
        <f t="shared" si="0"/>
        <v>51.935000000000002</v>
      </c>
      <c r="AA228" s="26"/>
      <c r="AB228" s="26">
        <f t="shared" si="0"/>
        <v>51.935000000000002</v>
      </c>
      <c r="AC228" s="26">
        <f t="shared" si="0"/>
        <v>51.935000000000002</v>
      </c>
      <c r="AD228" s="26">
        <f t="shared" si="0"/>
        <v>51.935000000000002</v>
      </c>
      <c r="AE228" s="26">
        <f t="shared" si="0"/>
        <v>51.935000000000002</v>
      </c>
      <c r="AF228" s="26">
        <f t="shared" si="0"/>
        <v>51.935000000000002</v>
      </c>
      <c r="AG228" s="26"/>
      <c r="AH228" s="26">
        <f t="shared" si="0"/>
        <v>51.935000000000002</v>
      </c>
    </row>
    <row r="229" spans="1:34" x14ac:dyDescent="0.2">
      <c r="A229" s="339"/>
      <c r="B229" s="327"/>
      <c r="C229" s="327"/>
      <c r="D229" s="25" t="s">
        <v>143</v>
      </c>
      <c r="E229" s="24">
        <v>8660</v>
      </c>
      <c r="F229" s="24">
        <v>8820</v>
      </c>
      <c r="G229" s="24">
        <v>8980</v>
      </c>
      <c r="H229" s="24">
        <v>9140</v>
      </c>
      <c r="I229" s="41"/>
      <c r="J229" s="41">
        <v>9140</v>
      </c>
      <c r="K229" s="24"/>
      <c r="L229" s="24"/>
      <c r="M229" s="24"/>
      <c r="N229" s="24"/>
      <c r="O229" s="41"/>
      <c r="P229" s="41">
        <v>9780</v>
      </c>
      <c r="Q229" s="24"/>
      <c r="R229" s="24"/>
      <c r="S229" s="24"/>
      <c r="T229" s="24"/>
      <c r="U229" s="24"/>
      <c r="V229" s="41">
        <v>10410</v>
      </c>
      <c r="W229" s="24"/>
      <c r="X229" s="24"/>
      <c r="Y229" s="24"/>
      <c r="Z229" s="24"/>
      <c r="AA229" s="41"/>
      <c r="AB229" s="41">
        <v>12340</v>
      </c>
      <c r="AC229" s="24"/>
      <c r="AD229" s="24"/>
      <c r="AE229" s="24"/>
      <c r="AF229" s="24"/>
      <c r="AG229" s="41"/>
      <c r="AH229" s="41">
        <v>12340</v>
      </c>
    </row>
    <row r="230" spans="1:34" x14ac:dyDescent="0.2">
      <c r="A230" s="339"/>
      <c r="B230" s="327" t="s">
        <v>47</v>
      </c>
      <c r="C230" s="327"/>
      <c r="D230" s="25" t="s">
        <v>32</v>
      </c>
      <c r="E230" s="45">
        <v>58.303521000000003</v>
      </c>
      <c r="F230" s="45">
        <v>58.347346999999999</v>
      </c>
      <c r="G230" s="60">
        <v>58.391173999999999</v>
      </c>
      <c r="H230" s="60">
        <v>58.435000000000002</v>
      </c>
      <c r="I230" s="41"/>
      <c r="J230" s="26">
        <f t="shared" ref="J230:T230" si="1">56.81+1.625</f>
        <v>58.435000000000002</v>
      </c>
      <c r="K230" s="26">
        <f t="shared" si="1"/>
        <v>58.435000000000002</v>
      </c>
      <c r="L230" s="26">
        <f t="shared" si="1"/>
        <v>58.435000000000002</v>
      </c>
      <c r="M230" s="26">
        <f t="shared" si="1"/>
        <v>58.435000000000002</v>
      </c>
      <c r="N230" s="26">
        <f t="shared" si="1"/>
        <v>58.435000000000002</v>
      </c>
      <c r="O230" s="26">
        <f t="shared" si="1"/>
        <v>58.435000000000002</v>
      </c>
      <c r="P230" s="26">
        <f t="shared" si="1"/>
        <v>58.435000000000002</v>
      </c>
      <c r="Q230" s="26">
        <f t="shared" si="1"/>
        <v>58.435000000000002</v>
      </c>
      <c r="R230" s="26">
        <f t="shared" si="1"/>
        <v>58.435000000000002</v>
      </c>
      <c r="S230" s="26">
        <f t="shared" si="1"/>
        <v>58.435000000000002</v>
      </c>
      <c r="T230" s="26">
        <f t="shared" si="1"/>
        <v>58.435000000000002</v>
      </c>
      <c r="U230" s="24"/>
      <c r="V230" s="26">
        <f>56.81+1.625</f>
        <v>58.435000000000002</v>
      </c>
      <c r="W230" s="26">
        <f>56.81+1.625</f>
        <v>58.435000000000002</v>
      </c>
      <c r="X230" s="26">
        <f>56.81+1.625</f>
        <v>58.435000000000002</v>
      </c>
      <c r="Y230" s="26">
        <f>56.81+1.625</f>
        <v>58.435000000000002</v>
      </c>
      <c r="Z230" s="26">
        <f>56.81+1.625</f>
        <v>58.435000000000002</v>
      </c>
      <c r="AA230" s="41"/>
      <c r="AB230" s="26">
        <f>56.81+1.63</f>
        <v>58.440000000000005</v>
      </c>
      <c r="AC230" s="26">
        <f>56.81+1.63</f>
        <v>58.440000000000005</v>
      </c>
      <c r="AD230" s="26">
        <f>56.81+1.63</f>
        <v>58.440000000000005</v>
      </c>
      <c r="AE230" s="26">
        <f>56.81+1.63</f>
        <v>58.440000000000005</v>
      </c>
      <c r="AF230" s="26">
        <f>56.81+1.63</f>
        <v>58.440000000000005</v>
      </c>
      <c r="AG230" s="41"/>
      <c r="AH230" s="26">
        <v>58.44</v>
      </c>
    </row>
    <row r="231" spans="1:34" ht="39.6" customHeight="1" x14ac:dyDescent="0.2">
      <c r="A231" s="339"/>
      <c r="B231" s="327"/>
      <c r="C231" s="327"/>
      <c r="D231" s="25" t="s">
        <v>143</v>
      </c>
      <c r="E231" s="23">
        <v>8660</v>
      </c>
      <c r="F231" s="23">
        <v>8820</v>
      </c>
      <c r="G231" s="23">
        <v>8980</v>
      </c>
      <c r="H231" s="23">
        <v>9140</v>
      </c>
      <c r="I231" s="41"/>
      <c r="J231" s="41">
        <v>9140</v>
      </c>
      <c r="K231" s="23">
        <v>9300</v>
      </c>
      <c r="L231" s="23">
        <v>9460</v>
      </c>
      <c r="M231" s="23">
        <v>9620</v>
      </c>
      <c r="N231" s="23">
        <v>9780</v>
      </c>
      <c r="O231" s="41"/>
      <c r="P231" s="41">
        <v>9780</v>
      </c>
      <c r="Q231" s="23">
        <v>9938</v>
      </c>
      <c r="R231" s="23">
        <v>10095</v>
      </c>
      <c r="S231" s="23">
        <v>10253</v>
      </c>
      <c r="T231" s="23">
        <v>10410</v>
      </c>
      <c r="U231" s="23"/>
      <c r="V231" s="41">
        <v>10410</v>
      </c>
      <c r="W231" s="23">
        <v>10893</v>
      </c>
      <c r="X231" s="23">
        <v>11375</v>
      </c>
      <c r="Y231" s="23">
        <v>11858</v>
      </c>
      <c r="Z231" s="23">
        <v>12340</v>
      </c>
      <c r="AA231" s="41"/>
      <c r="AB231" s="41">
        <v>12340</v>
      </c>
      <c r="AC231" s="23">
        <v>12312</v>
      </c>
      <c r="AD231" s="23">
        <v>12321</v>
      </c>
      <c r="AE231" s="23">
        <v>12331</v>
      </c>
      <c r="AF231" s="23">
        <v>12340</v>
      </c>
      <c r="AG231" s="41"/>
      <c r="AH231" s="41">
        <v>12340</v>
      </c>
    </row>
    <row r="232" spans="1:34" x14ac:dyDescent="0.2">
      <c r="A232" s="339"/>
      <c r="B232" s="327" t="s">
        <v>36</v>
      </c>
      <c r="C232" s="327"/>
      <c r="D232" s="25" t="s">
        <v>144</v>
      </c>
      <c r="E232" s="23">
        <v>1997</v>
      </c>
      <c r="F232" s="23">
        <v>1998</v>
      </c>
      <c r="G232" s="23">
        <v>1998</v>
      </c>
      <c r="H232" s="23">
        <v>1998</v>
      </c>
      <c r="I232" s="41"/>
      <c r="J232" s="41">
        <f>1994+4</f>
        <v>1998</v>
      </c>
      <c r="K232" s="23">
        <v>1998</v>
      </c>
      <c r="L232" s="23">
        <v>1999</v>
      </c>
      <c r="M232" s="23">
        <v>1999</v>
      </c>
      <c r="N232" s="23">
        <v>1999</v>
      </c>
      <c r="O232" s="41"/>
      <c r="P232" s="41">
        <f>J232+1</f>
        <v>1999</v>
      </c>
      <c r="Q232" s="23">
        <v>1999</v>
      </c>
      <c r="R232" s="23">
        <v>2000</v>
      </c>
      <c r="S232" s="23">
        <v>2000</v>
      </c>
      <c r="T232" s="23">
        <v>2000</v>
      </c>
      <c r="U232" s="41"/>
      <c r="V232" s="41">
        <f>P232+1</f>
        <v>2000</v>
      </c>
      <c r="W232" s="23">
        <v>2000</v>
      </c>
      <c r="X232" s="23">
        <v>2001</v>
      </c>
      <c r="Y232" s="23">
        <v>2001</v>
      </c>
      <c r="Z232" s="23">
        <v>2001</v>
      </c>
      <c r="AA232" s="41"/>
      <c r="AB232" s="41">
        <f>V232+1</f>
        <v>2001</v>
      </c>
      <c r="AC232" s="23">
        <v>2001</v>
      </c>
      <c r="AD232" s="23">
        <v>2002</v>
      </c>
      <c r="AE232" s="23">
        <v>2002</v>
      </c>
      <c r="AF232" s="23">
        <v>2002</v>
      </c>
      <c r="AG232" s="41"/>
      <c r="AH232" s="41">
        <f>AB232+1</f>
        <v>2002</v>
      </c>
    </row>
    <row r="233" spans="1:34" x14ac:dyDescent="0.2">
      <c r="A233" s="339"/>
      <c r="B233" s="327"/>
      <c r="C233" s="327"/>
      <c r="D233" s="25" t="s">
        <v>32</v>
      </c>
      <c r="E233" s="44">
        <v>46.818421000000001</v>
      </c>
      <c r="F233" s="44">
        <v>46.853614</v>
      </c>
      <c r="G233" s="44">
        <v>46.888807</v>
      </c>
      <c r="H233" s="44">
        <v>46.923999999999999</v>
      </c>
      <c r="I233" s="41"/>
      <c r="J233" s="26">
        <f>46.31+0.614</f>
        <v>46.923999999999999</v>
      </c>
      <c r="K233" s="26">
        <f>46.31+0.614</f>
        <v>46.923999999999999</v>
      </c>
      <c r="L233" s="26">
        <f>46.31+0.614</f>
        <v>46.923999999999999</v>
      </c>
      <c r="M233" s="26">
        <f>46.31+0.614</f>
        <v>46.923999999999999</v>
      </c>
      <c r="N233" s="26">
        <f>46.31+0.614</f>
        <v>46.923999999999999</v>
      </c>
      <c r="O233" s="41"/>
      <c r="P233" s="26">
        <f>46.31+0.614</f>
        <v>46.923999999999999</v>
      </c>
      <c r="Q233" s="26">
        <f>46.31+0.614</f>
        <v>46.923999999999999</v>
      </c>
      <c r="R233" s="26">
        <f>46.31+0.614</f>
        <v>46.923999999999999</v>
      </c>
      <c r="S233" s="26">
        <f>46.31+0.614</f>
        <v>46.923999999999999</v>
      </c>
      <c r="T233" s="26">
        <f>46.31+0.614</f>
        <v>46.923999999999999</v>
      </c>
      <c r="U233" s="41"/>
      <c r="V233" s="26">
        <f>46.31+0.614</f>
        <v>46.923999999999999</v>
      </c>
      <c r="W233" s="26">
        <f>46.31+0.614</f>
        <v>46.923999999999999</v>
      </c>
      <c r="X233" s="26">
        <f>46.31+0.614</f>
        <v>46.923999999999999</v>
      </c>
      <c r="Y233" s="26">
        <f>46.31+0.614</f>
        <v>46.923999999999999</v>
      </c>
      <c r="Z233" s="26">
        <f>46.31+0.614</f>
        <v>46.923999999999999</v>
      </c>
      <c r="AA233" s="41"/>
      <c r="AB233" s="26">
        <f>46.31+0.614</f>
        <v>46.923999999999999</v>
      </c>
      <c r="AC233" s="26">
        <f>46.31+0.614</f>
        <v>46.923999999999999</v>
      </c>
      <c r="AD233" s="26">
        <f>46.31+0.614</f>
        <v>46.923999999999999</v>
      </c>
      <c r="AE233" s="26">
        <f>46.31+0.614</f>
        <v>46.923999999999999</v>
      </c>
      <c r="AF233" s="26">
        <f>46.31+0.614</f>
        <v>46.923999999999999</v>
      </c>
      <c r="AG233" s="41"/>
      <c r="AH233" s="26">
        <f>46.31+0.614</f>
        <v>46.923999999999999</v>
      </c>
    </row>
    <row r="234" spans="1:34" x14ac:dyDescent="0.2">
      <c r="A234" s="339"/>
      <c r="B234" s="327" t="s">
        <v>48</v>
      </c>
      <c r="C234" s="327"/>
      <c r="D234" s="24" t="s">
        <v>143</v>
      </c>
      <c r="E234" s="41">
        <v>7953.9</v>
      </c>
      <c r="F234" s="41">
        <v>8115.4</v>
      </c>
      <c r="G234" s="41">
        <v>8276.9</v>
      </c>
      <c r="H234" s="41">
        <v>8438.4</v>
      </c>
      <c r="I234" s="41"/>
      <c r="J234" s="41">
        <f>J235*60/100</f>
        <v>8438.4</v>
      </c>
      <c r="K234" s="19">
        <v>8599.9</v>
      </c>
      <c r="L234" s="19">
        <v>8761.4</v>
      </c>
      <c r="M234" s="19">
        <v>8922.9</v>
      </c>
      <c r="N234" s="19">
        <v>9084.4</v>
      </c>
      <c r="O234" s="41"/>
      <c r="P234" s="41">
        <f>P235*65/100</f>
        <v>9084.4</v>
      </c>
      <c r="Q234" s="19">
        <v>9243.875</v>
      </c>
      <c r="R234" s="19">
        <v>9403.35</v>
      </c>
      <c r="S234" s="19">
        <v>9562.8250000000007</v>
      </c>
      <c r="T234" s="19">
        <v>9722.2999999999993</v>
      </c>
      <c r="U234" s="41"/>
      <c r="V234" s="41">
        <f>V235*70/100</f>
        <v>9722.2999999999993</v>
      </c>
      <c r="W234" s="19">
        <v>10397.4</v>
      </c>
      <c r="X234" s="19">
        <v>11072.5</v>
      </c>
      <c r="Y234" s="19">
        <v>11747.6</v>
      </c>
      <c r="Z234" s="19">
        <v>12422.7</v>
      </c>
      <c r="AA234" s="41"/>
      <c r="AB234" s="41">
        <f>AB235*90/100</f>
        <v>12422.7</v>
      </c>
      <c r="AC234" s="19">
        <v>12423</v>
      </c>
      <c r="AD234" s="19">
        <v>12423</v>
      </c>
      <c r="AE234" s="19">
        <v>12423</v>
      </c>
      <c r="AF234" s="19">
        <v>12423</v>
      </c>
      <c r="AG234" s="41"/>
      <c r="AH234" s="41">
        <v>12423</v>
      </c>
    </row>
    <row r="235" spans="1:34" x14ac:dyDescent="0.2">
      <c r="A235" s="339"/>
      <c r="B235" s="327"/>
      <c r="C235" s="327"/>
      <c r="D235" s="75" t="s">
        <v>143</v>
      </c>
      <c r="E235" s="41">
        <v>14064</v>
      </c>
      <c r="F235" s="41">
        <v>14064</v>
      </c>
      <c r="G235" s="41">
        <v>14064</v>
      </c>
      <c r="H235" s="41">
        <v>14064</v>
      </c>
      <c r="I235" s="41"/>
      <c r="J235" s="41">
        <v>14064</v>
      </c>
      <c r="K235" s="23">
        <v>13976</v>
      </c>
      <c r="L235" s="23">
        <v>13976</v>
      </c>
      <c r="M235" s="23">
        <v>13976</v>
      </c>
      <c r="N235" s="23">
        <v>13976</v>
      </c>
      <c r="O235" s="41"/>
      <c r="P235" s="23">
        <v>13976</v>
      </c>
      <c r="Q235" s="23">
        <v>13889</v>
      </c>
      <c r="R235" s="23">
        <v>13889</v>
      </c>
      <c r="S235" s="23">
        <v>13889</v>
      </c>
      <c r="T235" s="23">
        <v>13889</v>
      </c>
      <c r="U235" s="41"/>
      <c r="V235" s="41">
        <v>13889</v>
      </c>
      <c r="W235" s="23">
        <v>13803</v>
      </c>
      <c r="X235" s="23">
        <v>13803</v>
      </c>
      <c r="Y235" s="23">
        <v>13803</v>
      </c>
      <c r="Z235" s="23">
        <v>13803</v>
      </c>
      <c r="AA235" s="41"/>
      <c r="AB235" s="41">
        <v>13803</v>
      </c>
      <c r="AC235" s="23">
        <v>13717</v>
      </c>
      <c r="AD235" s="23">
        <v>13717</v>
      </c>
      <c r="AE235" s="23">
        <v>13717</v>
      </c>
      <c r="AF235" s="23">
        <v>13717</v>
      </c>
      <c r="AG235" s="41"/>
      <c r="AH235" s="41">
        <v>13717</v>
      </c>
    </row>
    <row r="236" spans="1:34" x14ac:dyDescent="0.2">
      <c r="A236" s="65">
        <v>3.2</v>
      </c>
      <c r="B236" s="348" t="s">
        <v>37</v>
      </c>
      <c r="C236" s="349"/>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x14ac:dyDescent="0.2">
      <c r="A237" s="328"/>
      <c r="B237" s="327" t="s">
        <v>102</v>
      </c>
      <c r="C237" s="86"/>
      <c r="D237" s="315" t="s">
        <v>78</v>
      </c>
      <c r="E237" s="252">
        <v>0</v>
      </c>
      <c r="F237" s="252">
        <v>0</v>
      </c>
      <c r="G237" s="252">
        <v>0</v>
      </c>
      <c r="H237" s="252">
        <v>0</v>
      </c>
      <c r="I237" s="45"/>
      <c r="J237" s="252">
        <v>0</v>
      </c>
      <c r="K237" s="252">
        <v>0</v>
      </c>
      <c r="L237" s="252">
        <v>0</v>
      </c>
      <c r="M237" s="252">
        <v>0</v>
      </c>
      <c r="N237" s="252">
        <v>0</v>
      </c>
      <c r="O237" s="252"/>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306"/>
      <c r="B238" s="329"/>
      <c r="C238" s="83" t="s">
        <v>26</v>
      </c>
      <c r="D238" s="315"/>
      <c r="E238" s="309"/>
      <c r="F238" s="309"/>
      <c r="G238" s="309"/>
      <c r="H238" s="309"/>
      <c r="I238" s="45"/>
      <c r="J238" s="309"/>
      <c r="K238" s="309"/>
      <c r="L238" s="309"/>
      <c r="M238" s="309"/>
      <c r="N238" s="309"/>
      <c r="O238" s="309"/>
      <c r="P238" s="309"/>
      <c r="Q238" s="309"/>
      <c r="R238" s="309"/>
      <c r="S238" s="309"/>
      <c r="T238" s="309"/>
      <c r="U238" s="45"/>
      <c r="V238" s="309"/>
      <c r="W238" s="309"/>
      <c r="X238" s="309"/>
      <c r="Y238" s="309"/>
      <c r="Z238" s="309"/>
      <c r="AA238" s="45"/>
      <c r="AB238" s="309"/>
      <c r="AC238" s="309"/>
      <c r="AD238" s="309"/>
      <c r="AE238" s="309"/>
      <c r="AF238" s="309"/>
      <c r="AG238" s="45"/>
      <c r="AH238" s="309"/>
    </row>
    <row r="239" spans="1:34" x14ac:dyDescent="0.2">
      <c r="A239" s="306"/>
      <c r="B239" s="329"/>
      <c r="C239" s="330" t="s">
        <v>7</v>
      </c>
      <c r="D239" s="315" t="s">
        <v>78</v>
      </c>
      <c r="E239" s="252">
        <v>0.01</v>
      </c>
      <c r="F239" s="252">
        <v>0.01</v>
      </c>
      <c r="G239" s="252">
        <v>0.01</v>
      </c>
      <c r="H239" s="252">
        <v>0.01</v>
      </c>
      <c r="I239" s="45"/>
      <c r="J239" s="252">
        <v>0.01</v>
      </c>
      <c r="K239" s="252">
        <v>0.01</v>
      </c>
      <c r="L239" s="252">
        <v>0.01</v>
      </c>
      <c r="M239" s="252">
        <v>0.01</v>
      </c>
      <c r="N239" s="252">
        <v>0.01</v>
      </c>
      <c r="O239" s="252"/>
      <c r="P239" s="252">
        <v>0.01</v>
      </c>
      <c r="Q239" s="252">
        <v>0.01</v>
      </c>
      <c r="R239" s="252">
        <v>0.01</v>
      </c>
      <c r="S239" s="252">
        <v>0.01</v>
      </c>
      <c r="T239" s="252">
        <v>0.01</v>
      </c>
      <c r="U239" s="45"/>
      <c r="V239" s="252">
        <v>0.01</v>
      </c>
      <c r="W239" s="252">
        <v>0.01</v>
      </c>
      <c r="X239" s="252">
        <v>0.01</v>
      </c>
      <c r="Y239" s="252">
        <v>0.01</v>
      </c>
      <c r="Z239" s="252">
        <v>0.01</v>
      </c>
      <c r="AA239" s="45"/>
      <c r="AB239" s="252">
        <v>0.01</v>
      </c>
      <c r="AC239" s="252">
        <v>0.01</v>
      </c>
      <c r="AD239" s="252">
        <v>0.01</v>
      </c>
      <c r="AE239" s="252">
        <v>0.01</v>
      </c>
      <c r="AF239" s="252">
        <v>0.01</v>
      </c>
      <c r="AG239" s="45"/>
      <c r="AH239" s="252">
        <v>0.01</v>
      </c>
    </row>
    <row r="240" spans="1:34" x14ac:dyDescent="0.2">
      <c r="A240" s="306"/>
      <c r="B240" s="329"/>
      <c r="C240" s="306"/>
      <c r="D240" s="315"/>
      <c r="E240" s="309"/>
      <c r="F240" s="309"/>
      <c r="G240" s="309"/>
      <c r="H240" s="309"/>
      <c r="I240" s="45"/>
      <c r="J240" s="309"/>
      <c r="K240" s="309"/>
      <c r="L240" s="309"/>
      <c r="M240" s="309"/>
      <c r="N240" s="309"/>
      <c r="O240" s="309"/>
      <c r="P240" s="309"/>
      <c r="Q240" s="309"/>
      <c r="R240" s="309"/>
      <c r="S240" s="309"/>
      <c r="T240" s="309"/>
      <c r="U240" s="45"/>
      <c r="V240" s="309"/>
      <c r="W240" s="309"/>
      <c r="X240" s="309"/>
      <c r="Y240" s="309"/>
      <c r="Z240" s="309"/>
      <c r="AA240" s="45"/>
      <c r="AB240" s="309"/>
      <c r="AC240" s="309"/>
      <c r="AD240" s="309"/>
      <c r="AE240" s="309"/>
      <c r="AF240" s="309"/>
      <c r="AG240" s="45"/>
      <c r="AH240" s="309"/>
    </row>
    <row r="241" spans="1:34" ht="23.25" customHeight="1" x14ac:dyDescent="0.2">
      <c r="A241" s="306"/>
      <c r="B241" s="329"/>
      <c r="C241" s="330" t="s">
        <v>8</v>
      </c>
      <c r="D241" s="315" t="s">
        <v>78</v>
      </c>
      <c r="E241" s="252">
        <v>0.01</v>
      </c>
      <c r="F241" s="252">
        <v>0.01</v>
      </c>
      <c r="G241" s="252">
        <v>0.01</v>
      </c>
      <c r="H241" s="252">
        <v>0.01</v>
      </c>
      <c r="I241" s="45"/>
      <c r="J241" s="252">
        <v>0.01</v>
      </c>
      <c r="K241" s="252">
        <v>0.01</v>
      </c>
      <c r="L241" s="252">
        <v>0.01</v>
      </c>
      <c r="M241" s="252">
        <v>0.01</v>
      </c>
      <c r="N241" s="252">
        <v>0.01</v>
      </c>
      <c r="O241" s="252"/>
      <c r="P241" s="252">
        <v>0.01</v>
      </c>
      <c r="Q241" s="252">
        <v>0.01</v>
      </c>
      <c r="R241" s="252">
        <v>0.01</v>
      </c>
      <c r="S241" s="252">
        <v>0.01</v>
      </c>
      <c r="T241" s="252">
        <v>0.01</v>
      </c>
      <c r="U241" s="45"/>
      <c r="V241" s="252">
        <v>0.01</v>
      </c>
      <c r="W241" s="252">
        <v>0.01</v>
      </c>
      <c r="X241" s="252">
        <v>0.01</v>
      </c>
      <c r="Y241" s="252">
        <v>0.01</v>
      </c>
      <c r="Z241" s="252">
        <v>0.01</v>
      </c>
      <c r="AA241" s="45"/>
      <c r="AB241" s="252">
        <v>0.01</v>
      </c>
      <c r="AC241" s="252">
        <v>0.01</v>
      </c>
      <c r="AD241" s="252">
        <v>0.01</v>
      </c>
      <c r="AE241" s="252">
        <v>0.01</v>
      </c>
      <c r="AF241" s="252">
        <v>0.01</v>
      </c>
      <c r="AG241" s="45"/>
      <c r="AH241" s="252">
        <v>0.01</v>
      </c>
    </row>
    <row r="242" spans="1:34" ht="18" customHeight="1" x14ac:dyDescent="0.2">
      <c r="A242" s="306"/>
      <c r="B242" s="329"/>
      <c r="C242" s="306"/>
      <c r="D242" s="315"/>
      <c r="E242" s="309"/>
      <c r="F242" s="309"/>
      <c r="G242" s="309"/>
      <c r="H242" s="309"/>
      <c r="I242" s="45"/>
      <c r="J242" s="309"/>
      <c r="K242" s="309"/>
      <c r="L242" s="309"/>
      <c r="M242" s="309"/>
      <c r="N242" s="309"/>
      <c r="O242" s="309"/>
      <c r="P242" s="309"/>
      <c r="Q242" s="309"/>
      <c r="R242" s="309"/>
      <c r="S242" s="309"/>
      <c r="T242" s="309"/>
      <c r="U242" s="45"/>
      <c r="V242" s="309"/>
      <c r="W242" s="309"/>
      <c r="X242" s="309"/>
      <c r="Y242" s="309"/>
      <c r="Z242" s="309"/>
      <c r="AA242" s="45"/>
      <c r="AB242" s="309"/>
      <c r="AC242" s="309"/>
      <c r="AD242" s="309"/>
      <c r="AE242" s="309"/>
      <c r="AF242" s="309"/>
      <c r="AG242" s="45"/>
      <c r="AH242" s="309"/>
    </row>
    <row r="243" spans="1:34" x14ac:dyDescent="0.2">
      <c r="A243" s="306"/>
      <c r="B243" s="332" t="s">
        <v>103</v>
      </c>
      <c r="C243" s="330" t="s">
        <v>26</v>
      </c>
      <c r="D243" s="315" t="s">
        <v>78</v>
      </c>
      <c r="E243" s="252">
        <v>0</v>
      </c>
      <c r="F243" s="252">
        <v>0</v>
      </c>
      <c r="G243" s="252">
        <v>0</v>
      </c>
      <c r="H243" s="252">
        <v>0</v>
      </c>
      <c r="I243" s="45"/>
      <c r="J243" s="252">
        <v>0</v>
      </c>
      <c r="K243" s="252">
        <v>0</v>
      </c>
      <c r="L243" s="252">
        <v>0</v>
      </c>
      <c r="M243" s="252">
        <v>0</v>
      </c>
      <c r="N243" s="252">
        <v>0</v>
      </c>
      <c r="O243" s="252"/>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x14ac:dyDescent="0.2">
      <c r="A244" s="306"/>
      <c r="B244" s="332"/>
      <c r="C244" s="306"/>
      <c r="D244" s="315"/>
      <c r="E244" s="309"/>
      <c r="F244" s="309"/>
      <c r="G244" s="309"/>
      <c r="H244" s="309"/>
      <c r="I244" s="45"/>
      <c r="J244" s="309"/>
      <c r="K244" s="309"/>
      <c r="L244" s="309"/>
      <c r="M244" s="309"/>
      <c r="N244" s="309"/>
      <c r="O244" s="309"/>
      <c r="P244" s="309"/>
      <c r="Q244" s="309"/>
      <c r="R244" s="309"/>
      <c r="S244" s="309"/>
      <c r="T244" s="309"/>
      <c r="U244" s="45"/>
      <c r="V244" s="309"/>
      <c r="W244" s="309"/>
      <c r="X244" s="309"/>
      <c r="Y244" s="309"/>
      <c r="Z244" s="309"/>
      <c r="AA244" s="45"/>
      <c r="AB244" s="309"/>
      <c r="AC244" s="309"/>
      <c r="AD244" s="309"/>
      <c r="AE244" s="309"/>
      <c r="AF244" s="309"/>
      <c r="AG244" s="45"/>
      <c r="AH244" s="309"/>
    </row>
    <row r="245" spans="1:34" x14ac:dyDescent="0.2">
      <c r="A245" s="306"/>
      <c r="B245" s="332"/>
      <c r="C245" s="330" t="s">
        <v>7</v>
      </c>
      <c r="D245" s="315" t="s">
        <v>78</v>
      </c>
      <c r="E245" s="252">
        <v>0</v>
      </c>
      <c r="F245" s="252">
        <v>0</v>
      </c>
      <c r="G245" s="252">
        <v>0</v>
      </c>
      <c r="H245" s="252">
        <v>0</v>
      </c>
      <c r="I245" s="45"/>
      <c r="J245" s="252">
        <v>0</v>
      </c>
      <c r="K245" s="252">
        <v>0</v>
      </c>
      <c r="L245" s="252">
        <v>0</v>
      </c>
      <c r="M245" s="252">
        <v>0</v>
      </c>
      <c r="N245" s="252">
        <v>0</v>
      </c>
      <c r="O245" s="252"/>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x14ac:dyDescent="0.2">
      <c r="A246" s="306"/>
      <c r="B246" s="332"/>
      <c r="C246" s="306"/>
      <c r="D246" s="315"/>
      <c r="E246" s="309"/>
      <c r="F246" s="309"/>
      <c r="G246" s="309"/>
      <c r="H246" s="309"/>
      <c r="I246" s="45"/>
      <c r="J246" s="309"/>
      <c r="K246" s="309"/>
      <c r="L246" s="309"/>
      <c r="M246" s="309"/>
      <c r="N246" s="309"/>
      <c r="O246" s="309"/>
      <c r="P246" s="309"/>
      <c r="Q246" s="309"/>
      <c r="R246" s="309"/>
      <c r="S246" s="309"/>
      <c r="T246" s="309"/>
      <c r="U246" s="45"/>
      <c r="V246" s="309"/>
      <c r="W246" s="309"/>
      <c r="X246" s="309"/>
      <c r="Y246" s="309"/>
      <c r="Z246" s="309"/>
      <c r="AA246" s="45"/>
      <c r="AB246" s="309"/>
      <c r="AC246" s="309"/>
      <c r="AD246" s="309"/>
      <c r="AE246" s="309"/>
      <c r="AF246" s="309"/>
      <c r="AG246" s="45"/>
      <c r="AH246" s="309"/>
    </row>
    <row r="247" spans="1:34" x14ac:dyDescent="0.2">
      <c r="A247" s="306"/>
      <c r="B247" s="332"/>
      <c r="C247" s="306" t="s">
        <v>8</v>
      </c>
      <c r="D247" s="315" t="s">
        <v>78</v>
      </c>
      <c r="E247" s="252">
        <v>0</v>
      </c>
      <c r="F247" s="252">
        <v>0</v>
      </c>
      <c r="G247" s="252">
        <v>0</v>
      </c>
      <c r="H247" s="252">
        <v>0</v>
      </c>
      <c r="I247" s="45"/>
      <c r="J247" s="252">
        <v>0</v>
      </c>
      <c r="K247" s="252">
        <v>0</v>
      </c>
      <c r="L247" s="252">
        <v>0</v>
      </c>
      <c r="M247" s="252">
        <v>0</v>
      </c>
      <c r="N247" s="252">
        <v>0</v>
      </c>
      <c r="O247" s="252"/>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x14ac:dyDescent="0.2">
      <c r="A248" s="306"/>
      <c r="B248" s="332"/>
      <c r="C248" s="306"/>
      <c r="D248" s="315"/>
      <c r="E248" s="308"/>
      <c r="F248" s="308"/>
      <c r="G248" s="308"/>
      <c r="H248" s="308"/>
      <c r="I248" s="45"/>
      <c r="J248" s="308"/>
      <c r="K248" s="308"/>
      <c r="L248" s="308"/>
      <c r="M248" s="308"/>
      <c r="N248" s="308"/>
      <c r="O248" s="308"/>
      <c r="P248" s="308"/>
      <c r="Q248" s="308"/>
      <c r="R248" s="308"/>
      <c r="S248" s="308"/>
      <c r="T248" s="308"/>
      <c r="U248" s="45"/>
      <c r="V248" s="308"/>
      <c r="W248" s="308"/>
      <c r="X248" s="308"/>
      <c r="Y248" s="308"/>
      <c r="Z248" s="308"/>
      <c r="AA248" s="45"/>
      <c r="AB248" s="308"/>
      <c r="AC248" s="308"/>
      <c r="AD248" s="308"/>
      <c r="AE248" s="308"/>
      <c r="AF248" s="308"/>
      <c r="AG248" s="45"/>
      <c r="AH248" s="308"/>
    </row>
    <row r="249" spans="1:34" x14ac:dyDescent="0.2">
      <c r="A249" s="306"/>
      <c r="B249" s="327" t="s">
        <v>49</v>
      </c>
      <c r="C249" s="331" t="s">
        <v>26</v>
      </c>
      <c r="D249" s="315" t="s">
        <v>78</v>
      </c>
      <c r="E249" s="252">
        <v>0</v>
      </c>
      <c r="F249" s="252">
        <v>0</v>
      </c>
      <c r="G249" s="252">
        <v>0</v>
      </c>
      <c r="H249" s="252">
        <v>0</v>
      </c>
      <c r="I249" s="45"/>
      <c r="J249" s="252">
        <v>0</v>
      </c>
      <c r="K249" s="252">
        <v>0</v>
      </c>
      <c r="L249" s="252">
        <v>0</v>
      </c>
      <c r="M249" s="252">
        <v>0</v>
      </c>
      <c r="N249" s="252">
        <v>0</v>
      </c>
      <c r="O249" s="252"/>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x14ac:dyDescent="0.2">
      <c r="A250" s="306"/>
      <c r="B250" s="327"/>
      <c r="C250" s="331"/>
      <c r="D250" s="315"/>
      <c r="E250" s="308"/>
      <c r="F250" s="308"/>
      <c r="G250" s="308"/>
      <c r="H250" s="308"/>
      <c r="I250" s="45"/>
      <c r="J250" s="308"/>
      <c r="K250" s="308"/>
      <c r="L250" s="308"/>
      <c r="M250" s="308"/>
      <c r="N250" s="308"/>
      <c r="O250" s="308"/>
      <c r="P250" s="308"/>
      <c r="Q250" s="308"/>
      <c r="R250" s="308"/>
      <c r="S250" s="308"/>
      <c r="T250" s="308"/>
      <c r="U250" s="45"/>
      <c r="V250" s="308"/>
      <c r="W250" s="308"/>
      <c r="X250" s="308"/>
      <c r="Y250" s="308"/>
      <c r="Z250" s="308"/>
      <c r="AA250" s="45"/>
      <c r="AB250" s="308"/>
      <c r="AC250" s="308"/>
      <c r="AD250" s="308"/>
      <c r="AE250" s="308"/>
      <c r="AF250" s="308"/>
      <c r="AG250" s="45"/>
      <c r="AH250" s="308"/>
    </row>
    <row r="251" spans="1:34" x14ac:dyDescent="0.2">
      <c r="A251" s="306"/>
      <c r="B251" s="327"/>
      <c r="C251" s="331" t="s">
        <v>7</v>
      </c>
      <c r="D251" s="315" t="s">
        <v>78</v>
      </c>
      <c r="E251" s="252">
        <v>0.04</v>
      </c>
      <c r="F251" s="252">
        <v>0.04</v>
      </c>
      <c r="G251" s="252">
        <v>0.04</v>
      </c>
      <c r="H251" s="252">
        <v>0.04</v>
      </c>
      <c r="I251" s="45"/>
      <c r="J251" s="252">
        <v>0.04</v>
      </c>
      <c r="K251" s="252">
        <v>0.04</v>
      </c>
      <c r="L251" s="252">
        <v>0.04</v>
      </c>
      <c r="M251" s="252">
        <v>0.04</v>
      </c>
      <c r="N251" s="252">
        <v>0.04</v>
      </c>
      <c r="O251" s="252"/>
      <c r="P251" s="252">
        <v>0.04</v>
      </c>
      <c r="Q251" s="252">
        <v>0.04</v>
      </c>
      <c r="R251" s="252">
        <v>0.04</v>
      </c>
      <c r="S251" s="252">
        <v>0.04</v>
      </c>
      <c r="T251" s="252">
        <v>0.04</v>
      </c>
      <c r="U251" s="45"/>
      <c r="V251" s="252">
        <v>0.04</v>
      </c>
      <c r="W251" s="252">
        <v>0.04</v>
      </c>
      <c r="X251" s="252">
        <v>0.04</v>
      </c>
      <c r="Y251" s="252">
        <v>0.04</v>
      </c>
      <c r="Z251" s="252">
        <v>0.04</v>
      </c>
      <c r="AA251" s="45"/>
      <c r="AB251" s="252">
        <v>0.04</v>
      </c>
      <c r="AC251" s="252">
        <v>0.04</v>
      </c>
      <c r="AD251" s="252">
        <v>0.04</v>
      </c>
      <c r="AE251" s="252">
        <v>0.04</v>
      </c>
      <c r="AF251" s="252">
        <v>0.04</v>
      </c>
      <c r="AG251" s="45"/>
      <c r="AH251" s="252">
        <v>0.04</v>
      </c>
    </row>
    <row r="252" spans="1:34" x14ac:dyDescent="0.2">
      <c r="A252" s="306"/>
      <c r="B252" s="327"/>
      <c r="C252" s="331"/>
      <c r="D252" s="315"/>
      <c r="E252" s="308"/>
      <c r="F252" s="308"/>
      <c r="G252" s="308"/>
      <c r="H252" s="308"/>
      <c r="I252" s="45"/>
      <c r="J252" s="308"/>
      <c r="K252" s="308"/>
      <c r="L252" s="308"/>
      <c r="M252" s="308"/>
      <c r="N252" s="308"/>
      <c r="O252" s="308"/>
      <c r="P252" s="308"/>
      <c r="Q252" s="308"/>
      <c r="R252" s="308"/>
      <c r="S252" s="308"/>
      <c r="T252" s="308"/>
      <c r="U252" s="45"/>
      <c r="V252" s="308"/>
      <c r="W252" s="308"/>
      <c r="X252" s="308"/>
      <c r="Y252" s="308"/>
      <c r="Z252" s="308"/>
      <c r="AA252" s="45"/>
      <c r="AB252" s="308"/>
      <c r="AC252" s="308"/>
      <c r="AD252" s="308"/>
      <c r="AE252" s="308"/>
      <c r="AF252" s="308"/>
      <c r="AG252" s="45"/>
      <c r="AH252" s="308"/>
    </row>
    <row r="253" spans="1:34" x14ac:dyDescent="0.2">
      <c r="A253" s="306"/>
      <c r="B253" s="327"/>
      <c r="C253" s="331" t="s">
        <v>8</v>
      </c>
      <c r="D253" s="315" t="s">
        <v>78</v>
      </c>
      <c r="E253" s="252">
        <v>0.04</v>
      </c>
      <c r="F253" s="252">
        <v>0.04</v>
      </c>
      <c r="G253" s="252">
        <v>0.04</v>
      </c>
      <c r="H253" s="252">
        <v>0.04</v>
      </c>
      <c r="I253" s="45"/>
      <c r="J253" s="252">
        <v>0.04</v>
      </c>
      <c r="K253" s="252">
        <v>0.04</v>
      </c>
      <c r="L253" s="252">
        <v>0.04</v>
      </c>
      <c r="M253" s="252">
        <v>0.04</v>
      </c>
      <c r="N253" s="252">
        <v>0.04</v>
      </c>
      <c r="O253" s="252"/>
      <c r="P253" s="252">
        <v>0.04</v>
      </c>
      <c r="Q253" s="252">
        <v>0.04</v>
      </c>
      <c r="R253" s="252">
        <v>0.04</v>
      </c>
      <c r="S253" s="252">
        <v>0.04</v>
      </c>
      <c r="T253" s="252">
        <v>0.04</v>
      </c>
      <c r="U253" s="45"/>
      <c r="V253" s="252">
        <v>0.04</v>
      </c>
      <c r="W253" s="252">
        <v>0.04</v>
      </c>
      <c r="X253" s="252">
        <v>0.04</v>
      </c>
      <c r="Y253" s="252">
        <v>0.04</v>
      </c>
      <c r="Z253" s="252">
        <v>0.04</v>
      </c>
      <c r="AA253" s="45"/>
      <c r="AB253" s="252">
        <v>0.04</v>
      </c>
      <c r="AC253" s="252">
        <v>0.04</v>
      </c>
      <c r="AD253" s="252">
        <v>0.04</v>
      </c>
      <c r="AE253" s="252">
        <v>0.04</v>
      </c>
      <c r="AF253" s="252">
        <v>0.04</v>
      </c>
      <c r="AG253" s="45"/>
      <c r="AH253" s="252">
        <v>0.04</v>
      </c>
    </row>
    <row r="254" spans="1:34" ht="21" customHeight="1" x14ac:dyDescent="0.2">
      <c r="A254" s="306"/>
      <c r="B254" s="327"/>
      <c r="C254" s="331"/>
      <c r="D254" s="315"/>
      <c r="E254" s="308"/>
      <c r="F254" s="308"/>
      <c r="G254" s="308"/>
      <c r="H254" s="308"/>
      <c r="I254" s="45"/>
      <c r="J254" s="308"/>
      <c r="K254" s="308"/>
      <c r="L254" s="308"/>
      <c r="M254" s="308"/>
      <c r="N254" s="308"/>
      <c r="O254" s="308"/>
      <c r="P254" s="308"/>
      <c r="Q254" s="308"/>
      <c r="R254" s="308"/>
      <c r="S254" s="308"/>
      <c r="T254" s="308"/>
      <c r="U254" s="45"/>
      <c r="V254" s="308"/>
      <c r="W254" s="308"/>
      <c r="X254" s="308"/>
      <c r="Y254" s="308"/>
      <c r="Z254" s="308"/>
      <c r="AA254" s="45"/>
      <c r="AB254" s="308"/>
      <c r="AC254" s="308"/>
      <c r="AD254" s="308"/>
      <c r="AE254" s="308"/>
      <c r="AF254" s="308"/>
      <c r="AG254" s="45"/>
      <c r="AH254" s="308"/>
    </row>
    <row r="255" spans="1:34" x14ac:dyDescent="0.2">
      <c r="A255" s="87"/>
      <c r="B255" s="87"/>
      <c r="C255" s="87"/>
      <c r="D255" s="87"/>
      <c r="P255" s="88"/>
      <c r="V255" s="88"/>
      <c r="AB255" s="88"/>
      <c r="AH255" s="88"/>
    </row>
    <row r="256" spans="1:34" x14ac:dyDescent="0.2">
      <c r="A256" s="89"/>
      <c r="B256" s="62"/>
      <c r="C256" s="89"/>
      <c r="D256" s="89"/>
      <c r="P256" s="90"/>
      <c r="V256" s="90"/>
      <c r="AB256" s="90"/>
      <c r="AH256" s="90"/>
    </row>
    <row r="257" spans="1:34" x14ac:dyDescent="0.2">
      <c r="A257" s="87"/>
      <c r="B257" s="91"/>
      <c r="C257" s="87"/>
      <c r="D257" s="87"/>
      <c r="P257" s="88"/>
      <c r="V257" s="88"/>
      <c r="AB257" s="88"/>
      <c r="AH257" s="88"/>
    </row>
    <row r="258" spans="1:34" x14ac:dyDescent="0.2">
      <c r="A258" s="87"/>
      <c r="B258" s="87"/>
      <c r="C258" s="87"/>
      <c r="D258" s="87"/>
      <c r="P258" s="90"/>
      <c r="V258" s="90"/>
      <c r="AB258" s="90"/>
      <c r="AH258" s="90"/>
    </row>
    <row r="259" spans="1:34" ht="29.4" customHeight="1" x14ac:dyDescent="0.2">
      <c r="A259" s="87"/>
      <c r="B259" s="345" t="s">
        <v>145</v>
      </c>
      <c r="C259" s="326"/>
      <c r="D259" s="326"/>
      <c r="E259" s="326"/>
      <c r="F259" s="326"/>
      <c r="G259" s="326"/>
      <c r="H259" s="326"/>
      <c r="I259" s="326"/>
      <c r="J259" s="326"/>
      <c r="K259" s="326"/>
      <c r="L259" s="326"/>
      <c r="M259" s="326"/>
      <c r="N259" s="326"/>
      <c r="O259" s="326"/>
      <c r="P259" s="326"/>
      <c r="Q259" s="326"/>
      <c r="R259" s="326"/>
      <c r="S259" s="326"/>
      <c r="T259" s="326"/>
      <c r="U259" s="326"/>
      <c r="V259" s="326"/>
      <c r="W259" s="326"/>
      <c r="X259" s="326"/>
      <c r="Y259" s="326"/>
      <c r="Z259" s="326"/>
      <c r="AA259" s="326"/>
      <c r="AB259" s="326"/>
      <c r="AC259" s="326"/>
      <c r="AD259" s="326"/>
      <c r="AE259" s="326"/>
      <c r="AF259" s="326"/>
      <c r="AG259" s="326"/>
      <c r="AH259" s="88"/>
    </row>
    <row r="260" spans="1:34" x14ac:dyDescent="0.2">
      <c r="A260" s="87"/>
      <c r="B260" s="87"/>
      <c r="C260" s="87"/>
      <c r="D260" s="87"/>
    </row>
    <row r="261" spans="1:34" x14ac:dyDescent="0.2">
      <c r="A261" s="87"/>
      <c r="B261" s="87"/>
      <c r="C261" s="87"/>
      <c r="D261" s="87"/>
    </row>
    <row r="262" spans="1:34" x14ac:dyDescent="0.2">
      <c r="A262" s="87"/>
      <c r="B262" s="87"/>
      <c r="C262" s="87"/>
      <c r="D262" s="87"/>
    </row>
    <row r="263" spans="1:34" x14ac:dyDescent="0.2">
      <c r="A263" s="87"/>
      <c r="B263" s="87"/>
      <c r="C263" s="87"/>
      <c r="D263" s="87"/>
    </row>
    <row r="264" spans="1:34" x14ac:dyDescent="0.2">
      <c r="A264" s="87"/>
      <c r="B264" s="87"/>
      <c r="C264" s="87"/>
      <c r="D264" s="87"/>
    </row>
    <row r="265" spans="1:34" x14ac:dyDescent="0.2">
      <c r="A265" s="87"/>
      <c r="B265" s="87"/>
      <c r="C265" s="87"/>
      <c r="D265" s="87"/>
    </row>
    <row r="266" spans="1:34" x14ac:dyDescent="0.2">
      <c r="A266" s="87"/>
      <c r="B266" s="87"/>
      <c r="C266" s="87"/>
      <c r="D266" s="87"/>
    </row>
    <row r="267" spans="1:34" x14ac:dyDescent="0.2">
      <c r="A267" s="87"/>
      <c r="B267" s="87"/>
      <c r="C267" s="87"/>
      <c r="D267" s="87"/>
    </row>
    <row r="268" spans="1:34" x14ac:dyDescent="0.2">
      <c r="A268" s="87"/>
      <c r="B268" s="87"/>
      <c r="C268" s="87"/>
      <c r="D268" s="87"/>
    </row>
    <row r="269" spans="1:34" x14ac:dyDescent="0.2">
      <c r="A269" s="87"/>
      <c r="B269" s="87"/>
      <c r="C269" s="87"/>
      <c r="D269" s="87"/>
    </row>
    <row r="270" spans="1:34" x14ac:dyDescent="0.2">
      <c r="A270" s="87"/>
      <c r="B270" s="87"/>
      <c r="C270" s="87"/>
      <c r="D270" s="87"/>
    </row>
    <row r="271" spans="1:34" x14ac:dyDescent="0.2">
      <c r="A271" s="87"/>
      <c r="B271" s="87"/>
      <c r="C271" s="87"/>
      <c r="D271" s="87"/>
    </row>
    <row r="272" spans="1:34" x14ac:dyDescent="0.2">
      <c r="A272" s="87"/>
      <c r="B272" s="87"/>
      <c r="C272" s="87"/>
      <c r="D272" s="87"/>
    </row>
    <row r="273" spans="1:4" x14ac:dyDescent="0.2">
      <c r="A273" s="87"/>
      <c r="B273" s="87"/>
      <c r="C273" s="87"/>
      <c r="D273" s="87"/>
    </row>
    <row r="274" spans="1:4" x14ac:dyDescent="0.2">
      <c r="A274" s="87"/>
      <c r="B274" s="87"/>
      <c r="C274" s="87"/>
      <c r="D274" s="87"/>
    </row>
    <row r="275" spans="1:4" x14ac:dyDescent="0.2">
      <c r="A275" s="87"/>
      <c r="B275" s="87"/>
      <c r="C275" s="87"/>
      <c r="D275" s="87"/>
    </row>
    <row r="276" spans="1:4" x14ac:dyDescent="0.2">
      <c r="A276" s="87"/>
      <c r="B276" s="87"/>
      <c r="C276" s="87"/>
      <c r="D276" s="87"/>
    </row>
    <row r="277" spans="1:4" x14ac:dyDescent="0.2">
      <c r="A277" s="87"/>
      <c r="B277" s="87"/>
      <c r="C277" s="87"/>
      <c r="D277" s="87"/>
    </row>
    <row r="278" spans="1:4" x14ac:dyDescent="0.2">
      <c r="A278" s="87"/>
      <c r="B278" s="87"/>
      <c r="C278" s="87"/>
      <c r="D278" s="87"/>
    </row>
    <row r="279" spans="1:4" x14ac:dyDescent="0.2">
      <c r="A279" s="87"/>
      <c r="B279" s="87"/>
      <c r="C279" s="87"/>
      <c r="D279" s="87"/>
    </row>
    <row r="280" spans="1:4" x14ac:dyDescent="0.2">
      <c r="A280" s="87"/>
      <c r="B280" s="87"/>
      <c r="C280" s="87"/>
      <c r="D280" s="87"/>
    </row>
    <row r="281" spans="1:4" x14ac:dyDescent="0.2">
      <c r="A281" s="87"/>
      <c r="B281" s="87"/>
      <c r="C281" s="87"/>
    </row>
    <row r="282" spans="1:4" x14ac:dyDescent="0.2">
      <c r="A282" s="87"/>
      <c r="B282" s="87"/>
      <c r="C282" s="87"/>
    </row>
    <row r="283" spans="1:4" x14ac:dyDescent="0.2">
      <c r="A283" s="87"/>
      <c r="B283" s="87"/>
      <c r="C283" s="87"/>
    </row>
  </sheetData>
  <mergeCells count="2911">
    <mergeCell ref="B259:AG259"/>
    <mergeCell ref="A2:P2"/>
    <mergeCell ref="B212:AH212"/>
    <mergeCell ref="B225:AH225"/>
    <mergeCell ref="B236:AH236"/>
    <mergeCell ref="B152:AH152"/>
    <mergeCell ref="B58:AH58"/>
    <mergeCell ref="B39:AH39"/>
    <mergeCell ref="A3:K3"/>
    <mergeCell ref="B73:AH73"/>
    <mergeCell ref="B189:AH189"/>
    <mergeCell ref="B192:C193"/>
    <mergeCell ref="A59:A72"/>
    <mergeCell ref="B71:C72"/>
    <mergeCell ref="B63:C64"/>
    <mergeCell ref="A74:A79"/>
    <mergeCell ref="B74:C75"/>
    <mergeCell ref="B77:C77"/>
    <mergeCell ref="B78:C79"/>
    <mergeCell ref="B67:C68"/>
    <mergeCell ref="B69:C70"/>
    <mergeCell ref="B76:C76"/>
    <mergeCell ref="B46:B51"/>
    <mergeCell ref="B59:C60"/>
    <mergeCell ref="C50:C51"/>
    <mergeCell ref="C56:C57"/>
    <mergeCell ref="C52:C53"/>
    <mergeCell ref="C54:C55"/>
    <mergeCell ref="C46:C47"/>
    <mergeCell ref="C48:C49"/>
    <mergeCell ref="C40:C41"/>
    <mergeCell ref="A15:A38"/>
    <mergeCell ref="B33:B38"/>
    <mergeCell ref="C33:C34"/>
    <mergeCell ref="C35:C36"/>
    <mergeCell ref="C37:C38"/>
    <mergeCell ref="B27:B32"/>
    <mergeCell ref="C21:C22"/>
    <mergeCell ref="B21:B26"/>
    <mergeCell ref="C29:C30"/>
    <mergeCell ref="C31:C32"/>
    <mergeCell ref="C23:C24"/>
    <mergeCell ref="C44:C45"/>
    <mergeCell ref="A40:A57"/>
    <mergeCell ref="B40:B45"/>
    <mergeCell ref="B52:B57"/>
    <mergeCell ref="C42:C43"/>
    <mergeCell ref="B15:B20"/>
    <mergeCell ref="C15:C16"/>
    <mergeCell ref="C17:C18"/>
    <mergeCell ref="C19:C20"/>
    <mergeCell ref="C25:C26"/>
    <mergeCell ref="C27:C28"/>
    <mergeCell ref="A4:C4"/>
    <mergeCell ref="A7:C7"/>
    <mergeCell ref="C10:C12"/>
    <mergeCell ref="B10:B12"/>
    <mergeCell ref="A5:B5"/>
    <mergeCell ref="A6:B6"/>
    <mergeCell ref="C89:C90"/>
    <mergeCell ref="B89:B94"/>
    <mergeCell ref="A82:A107"/>
    <mergeCell ref="B81:C81"/>
    <mergeCell ref="C93:C94"/>
    <mergeCell ref="C102:C103"/>
    <mergeCell ref="C104:C105"/>
    <mergeCell ref="B83:B88"/>
    <mergeCell ref="C91:C92"/>
    <mergeCell ref="C85:C86"/>
    <mergeCell ref="B171:B176"/>
    <mergeCell ref="B102:B107"/>
    <mergeCell ref="B109:C109"/>
    <mergeCell ref="C96:C97"/>
    <mergeCell ref="B110:C111"/>
    <mergeCell ref="C100:C101"/>
    <mergeCell ref="C159:C160"/>
    <mergeCell ref="C175:C176"/>
    <mergeCell ref="B124:AH124"/>
    <mergeCell ref="A109:A123"/>
    <mergeCell ref="B112:B117"/>
    <mergeCell ref="B118:B123"/>
    <mergeCell ref="C161:C162"/>
    <mergeCell ref="C129:C130"/>
    <mergeCell ref="C148:C149"/>
    <mergeCell ref="C139:C140"/>
    <mergeCell ref="A125:A151"/>
    <mergeCell ref="B137:B142"/>
    <mergeCell ref="B125:B130"/>
    <mergeCell ref="B153:B158"/>
    <mergeCell ref="B165:B170"/>
    <mergeCell ref="B183:B188"/>
    <mergeCell ref="B146:B151"/>
    <mergeCell ref="C173:C174"/>
    <mergeCell ref="C167:C168"/>
    <mergeCell ref="C169:C170"/>
    <mergeCell ref="C187:C188"/>
    <mergeCell ref="C185:C186"/>
    <mergeCell ref="C177:C178"/>
    <mergeCell ref="C183:C184"/>
    <mergeCell ref="C181:C182"/>
    <mergeCell ref="C179:C180"/>
    <mergeCell ref="C171:C172"/>
    <mergeCell ref="C133:C134"/>
    <mergeCell ref="C153:C154"/>
    <mergeCell ref="C137:C138"/>
    <mergeCell ref="C127:C128"/>
    <mergeCell ref="C141:C142"/>
    <mergeCell ref="C146:C147"/>
    <mergeCell ref="C204:C205"/>
    <mergeCell ref="B198:C199"/>
    <mergeCell ref="B202:B207"/>
    <mergeCell ref="B196:C197"/>
    <mergeCell ref="A196:A211"/>
    <mergeCell ref="A190:A193"/>
    <mergeCell ref="B210:C211"/>
    <mergeCell ref="B190:C191"/>
    <mergeCell ref="B208:C209"/>
    <mergeCell ref="C206:C207"/>
    <mergeCell ref="A226:A235"/>
    <mergeCell ref="B234:C235"/>
    <mergeCell ref="B226:C227"/>
    <mergeCell ref="B230:C231"/>
    <mergeCell ref="A222:A223"/>
    <mergeCell ref="A213:A218"/>
    <mergeCell ref="B213:C214"/>
    <mergeCell ref="B215:C216"/>
    <mergeCell ref="B232:C233"/>
    <mergeCell ref="B228:C229"/>
    <mergeCell ref="C150:C151"/>
    <mergeCell ref="B131:B136"/>
    <mergeCell ref="C135:C136"/>
    <mergeCell ref="B177:B182"/>
    <mergeCell ref="A153:A188"/>
    <mergeCell ref="B159:B164"/>
    <mergeCell ref="C118:C119"/>
    <mergeCell ref="C87:C88"/>
    <mergeCell ref="C83:C84"/>
    <mergeCell ref="C122:C123"/>
    <mergeCell ref="C125:C126"/>
    <mergeCell ref="A237:A254"/>
    <mergeCell ref="B237:B242"/>
    <mergeCell ref="C241:C242"/>
    <mergeCell ref="C243:C244"/>
    <mergeCell ref="C245:C246"/>
    <mergeCell ref="B143:B145"/>
    <mergeCell ref="C249:C250"/>
    <mergeCell ref="C239:C240"/>
    <mergeCell ref="C251:C252"/>
    <mergeCell ref="B243:B248"/>
    <mergeCell ref="B222:B223"/>
    <mergeCell ref="C222:C223"/>
    <mergeCell ref="B249:B254"/>
    <mergeCell ref="C253:C254"/>
    <mergeCell ref="C247:C248"/>
    <mergeCell ref="B217:C218"/>
    <mergeCell ref="B200:C201"/>
    <mergeCell ref="B95:C95"/>
    <mergeCell ref="C98:C99"/>
    <mergeCell ref="B108:C108"/>
    <mergeCell ref="C131:C132"/>
    <mergeCell ref="C116:C117"/>
    <mergeCell ref="C155:C156"/>
    <mergeCell ref="C157:C158"/>
    <mergeCell ref="C202:C203"/>
    <mergeCell ref="C163:C164"/>
    <mergeCell ref="C165:C166"/>
    <mergeCell ref="AC10:AG10"/>
    <mergeCell ref="V237:V238"/>
    <mergeCell ref="V239:V240"/>
    <mergeCell ref="AH253:AH254"/>
    <mergeCell ref="I61:I62"/>
    <mergeCell ref="I59:I60"/>
    <mergeCell ref="I56:I57"/>
    <mergeCell ref="I54:I55"/>
    <mergeCell ref="AB251:AB252"/>
    <mergeCell ref="AB253:AB254"/>
    <mergeCell ref="AH237:AH238"/>
    <mergeCell ref="AH239:AH240"/>
    <mergeCell ref="AH241:AH242"/>
    <mergeCell ref="AH243:AH244"/>
    <mergeCell ref="AH245:AH246"/>
    <mergeCell ref="AH247:AH248"/>
    <mergeCell ref="AH249:AH250"/>
    <mergeCell ref="AH251:AH252"/>
    <mergeCell ref="V249:V250"/>
    <mergeCell ref="V251:V252"/>
    <mergeCell ref="V253:V254"/>
    <mergeCell ref="AB237:AB238"/>
    <mergeCell ref="AB239:AB240"/>
    <mergeCell ref="AB241:AB242"/>
    <mergeCell ref="AB243:AB244"/>
    <mergeCell ref="AB245:AB246"/>
    <mergeCell ref="AB247:AB248"/>
    <mergeCell ref="AB249:AB250"/>
    <mergeCell ref="V241:V242"/>
    <mergeCell ref="V243:V244"/>
    <mergeCell ref="V245:V246"/>
    <mergeCell ref="V247:V248"/>
    <mergeCell ref="P249:P250"/>
    <mergeCell ref="P251:P252"/>
    <mergeCell ref="P253:P254"/>
    <mergeCell ref="Y5:Y6"/>
    <mergeCell ref="E10:I10"/>
    <mergeCell ref="K10:P10"/>
    <mergeCell ref="Q10:V10"/>
    <mergeCell ref="W10:AA10"/>
    <mergeCell ref="E11:J11"/>
    <mergeCell ref="K11:O11"/>
    <mergeCell ref="Q11:U11"/>
    <mergeCell ref="W11:AA11"/>
    <mergeCell ref="A8:T8"/>
    <mergeCell ref="D19:D20"/>
    <mergeCell ref="J19:J20"/>
    <mergeCell ref="P19:P20"/>
    <mergeCell ref="V19:V20"/>
    <mergeCell ref="D25:D26"/>
    <mergeCell ref="J25:J26"/>
    <mergeCell ref="P25:P26"/>
    <mergeCell ref="V25:V26"/>
    <mergeCell ref="D31:D32"/>
    <mergeCell ref="J31:J32"/>
    <mergeCell ref="P31:P32"/>
    <mergeCell ref="V31:V32"/>
    <mergeCell ref="B61:C62"/>
    <mergeCell ref="B65:C66"/>
    <mergeCell ref="B96:B101"/>
    <mergeCell ref="C120:C121"/>
    <mergeCell ref="C112:C113"/>
    <mergeCell ref="C106:C107"/>
    <mergeCell ref="C114:C115"/>
    <mergeCell ref="AC11:AG11"/>
    <mergeCell ref="D15:D16"/>
    <mergeCell ref="J15:J16"/>
    <mergeCell ref="P15:P16"/>
    <mergeCell ref="V15:V16"/>
    <mergeCell ref="AB15:AB16"/>
    <mergeCell ref="I15:I16"/>
    <mergeCell ref="O15:O16"/>
    <mergeCell ref="F15:F16"/>
    <mergeCell ref="G15:G16"/>
    <mergeCell ref="AH15:AH16"/>
    <mergeCell ref="D17:D18"/>
    <mergeCell ref="J17:J18"/>
    <mergeCell ref="P17:P18"/>
    <mergeCell ref="V17:V18"/>
    <mergeCell ref="AB17:AB18"/>
    <mergeCell ref="AH17:AH18"/>
    <mergeCell ref="I17:I18"/>
    <mergeCell ref="O17:O18"/>
    <mergeCell ref="E15:E16"/>
    <mergeCell ref="H15:H16"/>
    <mergeCell ref="K15:K16"/>
    <mergeCell ref="L15:L16"/>
    <mergeCell ref="M15:M16"/>
    <mergeCell ref="N15:N16"/>
    <mergeCell ref="Q15:Q16"/>
    <mergeCell ref="R15:R16"/>
    <mergeCell ref="S15:S16"/>
    <mergeCell ref="T15:T16"/>
    <mergeCell ref="U15:U16"/>
    <mergeCell ref="W15:W16"/>
    <mergeCell ref="X15:X16"/>
    <mergeCell ref="AB19:AB20"/>
    <mergeCell ref="AH19:AH20"/>
    <mergeCell ref="I19:I20"/>
    <mergeCell ref="O19:O20"/>
    <mergeCell ref="N19:N20"/>
    <mergeCell ref="Q19:Q20"/>
    <mergeCell ref="D21:D22"/>
    <mergeCell ref="J21:J22"/>
    <mergeCell ref="P21:P22"/>
    <mergeCell ref="V21:V22"/>
    <mergeCell ref="AB21:AB22"/>
    <mergeCell ref="AH21:AH22"/>
    <mergeCell ref="I21:I22"/>
    <mergeCell ref="O21:O22"/>
    <mergeCell ref="Q21:Q22"/>
    <mergeCell ref="R21:R22"/>
    <mergeCell ref="D23:D24"/>
    <mergeCell ref="J23:J24"/>
    <mergeCell ref="P23:P24"/>
    <mergeCell ref="V23:V24"/>
    <mergeCell ref="AB23:AB24"/>
    <mergeCell ref="AH23:AH24"/>
    <mergeCell ref="I23:I24"/>
    <mergeCell ref="O23:O24"/>
    <mergeCell ref="R23:R24"/>
    <mergeCell ref="S23:S24"/>
    <mergeCell ref="E19:E20"/>
    <mergeCell ref="F19:F20"/>
    <mergeCell ref="G19:G20"/>
    <mergeCell ref="H19:H20"/>
    <mergeCell ref="K19:K20"/>
    <mergeCell ref="L19:L20"/>
    <mergeCell ref="AB25:AB26"/>
    <mergeCell ref="AH25:AH26"/>
    <mergeCell ref="I25:I26"/>
    <mergeCell ref="O25:O26"/>
    <mergeCell ref="E25:E26"/>
    <mergeCell ref="F25:F26"/>
    <mergeCell ref="D27:D28"/>
    <mergeCell ref="J27:J28"/>
    <mergeCell ref="P27:P28"/>
    <mergeCell ref="V27:V28"/>
    <mergeCell ref="AB27:AB28"/>
    <mergeCell ref="AH27:AH28"/>
    <mergeCell ref="I27:I28"/>
    <mergeCell ref="O27:O28"/>
    <mergeCell ref="N27:N28"/>
    <mergeCell ref="Q27:Q28"/>
    <mergeCell ref="D29:D30"/>
    <mergeCell ref="J29:J30"/>
    <mergeCell ref="P29:P30"/>
    <mergeCell ref="V29:V30"/>
    <mergeCell ref="AB29:AB30"/>
    <mergeCell ref="AH29:AH30"/>
    <mergeCell ref="I29:I30"/>
    <mergeCell ref="O29:O30"/>
    <mergeCell ref="Q29:Q30"/>
    <mergeCell ref="R29:R30"/>
    <mergeCell ref="G25:G26"/>
    <mergeCell ref="H25:H26"/>
    <mergeCell ref="K25:K26"/>
    <mergeCell ref="L25:L26"/>
    <mergeCell ref="M25:M26"/>
    <mergeCell ref="N25:N26"/>
    <mergeCell ref="AB31:AB32"/>
    <mergeCell ref="AH31:AH32"/>
    <mergeCell ref="I31:I32"/>
    <mergeCell ref="O31:O32"/>
    <mergeCell ref="R31:R32"/>
    <mergeCell ref="S31:S32"/>
    <mergeCell ref="D33:D34"/>
    <mergeCell ref="J33:J34"/>
    <mergeCell ref="P33:P34"/>
    <mergeCell ref="V33:V34"/>
    <mergeCell ref="AB33:AB34"/>
    <mergeCell ref="AH33:AH34"/>
    <mergeCell ref="I33:I34"/>
    <mergeCell ref="O33:O34"/>
    <mergeCell ref="E33:E34"/>
    <mergeCell ref="F33:F34"/>
    <mergeCell ref="D35:D36"/>
    <mergeCell ref="J35:J36"/>
    <mergeCell ref="P35:P36"/>
    <mergeCell ref="V35:V36"/>
    <mergeCell ref="AB35:AB36"/>
    <mergeCell ref="AH35:AH36"/>
    <mergeCell ref="I35:I36"/>
    <mergeCell ref="O35:O36"/>
    <mergeCell ref="N35:N36"/>
    <mergeCell ref="Q35:Q36"/>
    <mergeCell ref="E31:E32"/>
    <mergeCell ref="F31:F32"/>
    <mergeCell ref="G31:G32"/>
    <mergeCell ref="H31:H32"/>
    <mergeCell ref="K31:K32"/>
    <mergeCell ref="L31:L32"/>
    <mergeCell ref="D37:D38"/>
    <mergeCell ref="J37:J38"/>
    <mergeCell ref="P37:P38"/>
    <mergeCell ref="V37:V38"/>
    <mergeCell ref="AB37:AB38"/>
    <mergeCell ref="AH37:AH38"/>
    <mergeCell ref="O37:O38"/>
    <mergeCell ref="N37:N38"/>
    <mergeCell ref="Q37:Q38"/>
    <mergeCell ref="R37:R38"/>
    <mergeCell ref="D40:D41"/>
    <mergeCell ref="J40:J41"/>
    <mergeCell ref="P40:P41"/>
    <mergeCell ref="V40:V41"/>
    <mergeCell ref="AB40:AB41"/>
    <mergeCell ref="AH40:AH41"/>
    <mergeCell ref="I40:I41"/>
    <mergeCell ref="L40:L41"/>
    <mergeCell ref="M40:M41"/>
    <mergeCell ref="N40:N41"/>
    <mergeCell ref="E37:E38"/>
    <mergeCell ref="F37:F38"/>
    <mergeCell ref="G37:G38"/>
    <mergeCell ref="H37:H38"/>
    <mergeCell ref="I37:I38"/>
    <mergeCell ref="K37:K38"/>
    <mergeCell ref="L37:L38"/>
    <mergeCell ref="M37:M38"/>
    <mergeCell ref="S37:S38"/>
    <mergeCell ref="T37:T38"/>
    <mergeCell ref="U37:U38"/>
    <mergeCell ref="W37:W38"/>
    <mergeCell ref="D42:D43"/>
    <mergeCell ref="J42:J43"/>
    <mergeCell ref="P42:P43"/>
    <mergeCell ref="V42:V43"/>
    <mergeCell ref="AB42:AB43"/>
    <mergeCell ref="AH42:AH43"/>
    <mergeCell ref="I42:I43"/>
    <mergeCell ref="AF42:AF43"/>
    <mergeCell ref="D44:D45"/>
    <mergeCell ref="J44:J45"/>
    <mergeCell ref="P44:P45"/>
    <mergeCell ref="V44:V45"/>
    <mergeCell ref="AB44:AB45"/>
    <mergeCell ref="AH44:AH45"/>
    <mergeCell ref="I44:I45"/>
    <mergeCell ref="E44:E45"/>
    <mergeCell ref="F44:F45"/>
    <mergeCell ref="G44:G45"/>
    <mergeCell ref="H44:H45"/>
    <mergeCell ref="K44:K45"/>
    <mergeCell ref="L44:L45"/>
    <mergeCell ref="M44:M45"/>
    <mergeCell ref="N44:N45"/>
    <mergeCell ref="O44:O45"/>
    <mergeCell ref="D46:D47"/>
    <mergeCell ref="J46:J47"/>
    <mergeCell ref="P46:P47"/>
    <mergeCell ref="V46:V47"/>
    <mergeCell ref="AB46:AB47"/>
    <mergeCell ref="AH46:AH47"/>
    <mergeCell ref="I46:I47"/>
    <mergeCell ref="D48:D49"/>
    <mergeCell ref="J48:J49"/>
    <mergeCell ref="P48:P49"/>
    <mergeCell ref="V48:V49"/>
    <mergeCell ref="AB48:AB49"/>
    <mergeCell ref="AH48:AH49"/>
    <mergeCell ref="I48:I49"/>
    <mergeCell ref="K48:K49"/>
    <mergeCell ref="L48:L49"/>
    <mergeCell ref="M48:M49"/>
    <mergeCell ref="E46:E47"/>
    <mergeCell ref="F46:F47"/>
    <mergeCell ref="G46:G47"/>
    <mergeCell ref="H46:H47"/>
    <mergeCell ref="E48:E49"/>
    <mergeCell ref="F48:F49"/>
    <mergeCell ref="G48:G49"/>
    <mergeCell ref="H48:H49"/>
    <mergeCell ref="K46:K47"/>
    <mergeCell ref="L46:L47"/>
    <mergeCell ref="M46:M47"/>
    <mergeCell ref="N46:N47"/>
    <mergeCell ref="O46:O47"/>
    <mergeCell ref="N48:N49"/>
    <mergeCell ref="O48:O49"/>
    <mergeCell ref="D50:D51"/>
    <mergeCell ref="J50:J51"/>
    <mergeCell ref="P50:P51"/>
    <mergeCell ref="V50:V51"/>
    <mergeCell ref="AB50:AB51"/>
    <mergeCell ref="AH50:AH51"/>
    <mergeCell ref="I50:I51"/>
    <mergeCell ref="E50:E51"/>
    <mergeCell ref="F50:F51"/>
    <mergeCell ref="G50:G51"/>
    <mergeCell ref="D52:D53"/>
    <mergeCell ref="J52:J53"/>
    <mergeCell ref="P52:P53"/>
    <mergeCell ref="V52:V53"/>
    <mergeCell ref="AB52:AB53"/>
    <mergeCell ref="AH52:AH53"/>
    <mergeCell ref="I52:I53"/>
    <mergeCell ref="K52:K53"/>
    <mergeCell ref="L52:L53"/>
    <mergeCell ref="M52:M53"/>
    <mergeCell ref="H50:H51"/>
    <mergeCell ref="E52:E53"/>
    <mergeCell ref="F52:F53"/>
    <mergeCell ref="G52:G53"/>
    <mergeCell ref="H52:H53"/>
    <mergeCell ref="K50:K51"/>
    <mergeCell ref="L50:L51"/>
    <mergeCell ref="M50:M51"/>
    <mergeCell ref="N50:N51"/>
    <mergeCell ref="O50:O51"/>
    <mergeCell ref="N52:N53"/>
    <mergeCell ref="O52:O53"/>
    <mergeCell ref="D54:D55"/>
    <mergeCell ref="J54:J55"/>
    <mergeCell ref="P54:P55"/>
    <mergeCell ref="V54:V55"/>
    <mergeCell ref="AB54:AB55"/>
    <mergeCell ref="AH54:AH55"/>
    <mergeCell ref="AC54:AC55"/>
    <mergeCell ref="AD54:AD55"/>
    <mergeCell ref="AE54:AE55"/>
    <mergeCell ref="AF54:AF55"/>
    <mergeCell ref="D56:D57"/>
    <mergeCell ref="J56:J57"/>
    <mergeCell ref="P56:P57"/>
    <mergeCell ref="V56:V57"/>
    <mergeCell ref="AB56:AB57"/>
    <mergeCell ref="AH56:AH57"/>
    <mergeCell ref="E56:E57"/>
    <mergeCell ref="F56:F57"/>
    <mergeCell ref="G56:G57"/>
    <mergeCell ref="H56:H57"/>
    <mergeCell ref="E54:E55"/>
    <mergeCell ref="F54:F55"/>
    <mergeCell ref="G54:G55"/>
    <mergeCell ref="H54:H55"/>
    <mergeCell ref="K54:K55"/>
    <mergeCell ref="L54:L55"/>
    <mergeCell ref="M54:M55"/>
    <mergeCell ref="N54:N55"/>
    <mergeCell ref="O54:O55"/>
    <mergeCell ref="K56:K57"/>
    <mergeCell ref="L56:L57"/>
    <mergeCell ref="M56:M57"/>
    <mergeCell ref="D59:D60"/>
    <mergeCell ref="J59:J60"/>
    <mergeCell ref="P59:P60"/>
    <mergeCell ref="V59:V60"/>
    <mergeCell ref="AB59:AB60"/>
    <mergeCell ref="AH59:AH60"/>
    <mergeCell ref="M59:M60"/>
    <mergeCell ref="N59:N60"/>
    <mergeCell ref="Q59:Q60"/>
    <mergeCell ref="R59:R60"/>
    <mergeCell ref="D61:D62"/>
    <mergeCell ref="J61:J62"/>
    <mergeCell ref="P61:P62"/>
    <mergeCell ref="V61:V62"/>
    <mergeCell ref="AB61:AB62"/>
    <mergeCell ref="AH61:AH62"/>
    <mergeCell ref="E61:E62"/>
    <mergeCell ref="F61:F62"/>
    <mergeCell ref="G61:G62"/>
    <mergeCell ref="H61:H62"/>
    <mergeCell ref="AC59:AC60"/>
    <mergeCell ref="AD59:AD60"/>
    <mergeCell ref="D63:D64"/>
    <mergeCell ref="J63:J64"/>
    <mergeCell ref="P63:P64"/>
    <mergeCell ref="V63:V64"/>
    <mergeCell ref="AB63:AB64"/>
    <mergeCell ref="AH63:AH64"/>
    <mergeCell ref="E63:E64"/>
    <mergeCell ref="F63:F64"/>
    <mergeCell ref="G63:G64"/>
    <mergeCell ref="H63:H64"/>
    <mergeCell ref="D65:D66"/>
    <mergeCell ref="J65:J66"/>
    <mergeCell ref="P65:P66"/>
    <mergeCell ref="V65:V66"/>
    <mergeCell ref="AB65:AB66"/>
    <mergeCell ref="AH65:AH66"/>
    <mergeCell ref="E65:E66"/>
    <mergeCell ref="F65:F66"/>
    <mergeCell ref="G65:G66"/>
    <mergeCell ref="H65:H66"/>
    <mergeCell ref="T65:T66"/>
    <mergeCell ref="AC63:AC64"/>
    <mergeCell ref="AD63:AD64"/>
    <mergeCell ref="D67:D68"/>
    <mergeCell ref="J67:J68"/>
    <mergeCell ref="P67:P68"/>
    <mergeCell ref="V67:V68"/>
    <mergeCell ref="AB67:AB68"/>
    <mergeCell ref="AH67:AH68"/>
    <mergeCell ref="E67:E68"/>
    <mergeCell ref="F67:F68"/>
    <mergeCell ref="G67:G68"/>
    <mergeCell ref="H67:H68"/>
    <mergeCell ref="D69:D70"/>
    <mergeCell ref="J69:J70"/>
    <mergeCell ref="P69:P70"/>
    <mergeCell ref="V69:V70"/>
    <mergeCell ref="AB69:AB70"/>
    <mergeCell ref="AH69:AH70"/>
    <mergeCell ref="E69:E70"/>
    <mergeCell ref="F69:F70"/>
    <mergeCell ref="G69:G70"/>
    <mergeCell ref="H69:H70"/>
    <mergeCell ref="K67:K68"/>
    <mergeCell ref="L67:L68"/>
    <mergeCell ref="M67:M68"/>
    <mergeCell ref="N67:N68"/>
    <mergeCell ref="K69:K70"/>
    <mergeCell ref="L69:L70"/>
    <mergeCell ref="M69:M70"/>
    <mergeCell ref="N69:N70"/>
    <mergeCell ref="Q67:Q68"/>
    <mergeCell ref="R67:R68"/>
    <mergeCell ref="S67:S68"/>
    <mergeCell ref="T67:T68"/>
    <mergeCell ref="D71:D72"/>
    <mergeCell ref="J71:J72"/>
    <mergeCell ref="P71:P72"/>
    <mergeCell ref="V71:V72"/>
    <mergeCell ref="AB71:AB72"/>
    <mergeCell ref="AH71:AH72"/>
    <mergeCell ref="E71:E72"/>
    <mergeCell ref="F71:F72"/>
    <mergeCell ref="G71:G72"/>
    <mergeCell ref="H71:H72"/>
    <mergeCell ref="D74:D75"/>
    <mergeCell ref="J74:J75"/>
    <mergeCell ref="P74:P75"/>
    <mergeCell ref="V74:V75"/>
    <mergeCell ref="AB74:AB75"/>
    <mergeCell ref="AH74:AH75"/>
    <mergeCell ref="W74:W75"/>
    <mergeCell ref="X74:X75"/>
    <mergeCell ref="Y74:Y75"/>
    <mergeCell ref="Z74:Z75"/>
    <mergeCell ref="K71:K72"/>
    <mergeCell ref="L71:L72"/>
    <mergeCell ref="M71:M72"/>
    <mergeCell ref="N71:N72"/>
    <mergeCell ref="W71:W72"/>
    <mergeCell ref="X71:X72"/>
    <mergeCell ref="Y71:Y72"/>
    <mergeCell ref="Z71:Z72"/>
    <mergeCell ref="AC71:AC72"/>
    <mergeCell ref="AD71:AD72"/>
    <mergeCell ref="AE71:AE72"/>
    <mergeCell ref="AF71:AF72"/>
    <mergeCell ref="P78:P79"/>
    <mergeCell ref="V78:V79"/>
    <mergeCell ref="AB78:AB79"/>
    <mergeCell ref="AH78:AH79"/>
    <mergeCell ref="J83:J84"/>
    <mergeCell ref="P83:P84"/>
    <mergeCell ref="V83:V84"/>
    <mergeCell ref="AB83:AB84"/>
    <mergeCell ref="AH83:AH84"/>
    <mergeCell ref="B80:AH80"/>
    <mergeCell ref="J85:J86"/>
    <mergeCell ref="P85:P86"/>
    <mergeCell ref="V85:V86"/>
    <mergeCell ref="AB85:AB86"/>
    <mergeCell ref="AH85:AH86"/>
    <mergeCell ref="J87:J88"/>
    <mergeCell ref="P87:P88"/>
    <mergeCell ref="V87:V88"/>
    <mergeCell ref="AB87:AB88"/>
    <mergeCell ref="AH87:AH88"/>
    <mergeCell ref="E83:E84"/>
    <mergeCell ref="F83:F84"/>
    <mergeCell ref="G83:G84"/>
    <mergeCell ref="H83:H84"/>
    <mergeCell ref="E85:E86"/>
    <mergeCell ref="F85:F86"/>
    <mergeCell ref="G85:G86"/>
    <mergeCell ref="H85:H86"/>
    <mergeCell ref="E87:E88"/>
    <mergeCell ref="F87:F88"/>
    <mergeCell ref="G87:G88"/>
    <mergeCell ref="H87:H88"/>
    <mergeCell ref="J89:J90"/>
    <mergeCell ref="P89:P90"/>
    <mergeCell ref="V89:V90"/>
    <mergeCell ref="AB89:AB90"/>
    <mergeCell ref="AH89:AH90"/>
    <mergeCell ref="J91:J92"/>
    <mergeCell ref="P91:P92"/>
    <mergeCell ref="V91:V92"/>
    <mergeCell ref="AB91:AB92"/>
    <mergeCell ref="AH91:AH92"/>
    <mergeCell ref="J93:J94"/>
    <mergeCell ref="P93:P94"/>
    <mergeCell ref="V93:V94"/>
    <mergeCell ref="AB93:AB94"/>
    <mergeCell ref="AH93:AH94"/>
    <mergeCell ref="J96:J97"/>
    <mergeCell ref="P96:P97"/>
    <mergeCell ref="V96:V97"/>
    <mergeCell ref="AB96:AB97"/>
    <mergeCell ref="AH96:AH97"/>
    <mergeCell ref="K93:K94"/>
    <mergeCell ref="L93:L94"/>
    <mergeCell ref="M93:M94"/>
    <mergeCell ref="N93:N94"/>
    <mergeCell ref="Q93:Q94"/>
    <mergeCell ref="R93:R94"/>
    <mergeCell ref="S93:S94"/>
    <mergeCell ref="T93:T94"/>
    <mergeCell ref="W93:W94"/>
    <mergeCell ref="X93:X94"/>
    <mergeCell ref="Y93:Y94"/>
    <mergeCell ref="Z93:Z94"/>
    <mergeCell ref="J98:J99"/>
    <mergeCell ref="P98:P99"/>
    <mergeCell ref="V98:V99"/>
    <mergeCell ref="AB98:AB99"/>
    <mergeCell ref="AH98:AH99"/>
    <mergeCell ref="J100:J101"/>
    <mergeCell ref="P100:P101"/>
    <mergeCell ref="V100:V101"/>
    <mergeCell ref="AB100:AB101"/>
    <mergeCell ref="AH100:AH101"/>
    <mergeCell ref="J102:J103"/>
    <mergeCell ref="P102:P103"/>
    <mergeCell ref="V102:V103"/>
    <mergeCell ref="AB102:AB103"/>
    <mergeCell ref="AH102:AH103"/>
    <mergeCell ref="J104:J105"/>
    <mergeCell ref="P104:P105"/>
    <mergeCell ref="V104:V105"/>
    <mergeCell ref="AB104:AB105"/>
    <mergeCell ref="AH104:AH105"/>
    <mergeCell ref="Q102:Q103"/>
    <mergeCell ref="R102:R103"/>
    <mergeCell ref="S102:S103"/>
    <mergeCell ref="T102:T103"/>
    <mergeCell ref="Q104:Q105"/>
    <mergeCell ref="R104:R105"/>
    <mergeCell ref="S104:S105"/>
    <mergeCell ref="T104:T105"/>
    <mergeCell ref="J106:J107"/>
    <mergeCell ref="P106:P107"/>
    <mergeCell ref="V106:V107"/>
    <mergeCell ref="AB106:AB107"/>
    <mergeCell ref="AH106:AH107"/>
    <mergeCell ref="J110:J111"/>
    <mergeCell ref="P110:P111"/>
    <mergeCell ref="V110:V111"/>
    <mergeCell ref="AB110:AB111"/>
    <mergeCell ref="AH110:AH111"/>
    <mergeCell ref="J112:J113"/>
    <mergeCell ref="P112:P113"/>
    <mergeCell ref="V112:V113"/>
    <mergeCell ref="AB112:AB113"/>
    <mergeCell ref="AH112:AH113"/>
    <mergeCell ref="J114:J115"/>
    <mergeCell ref="P114:P115"/>
    <mergeCell ref="V114:V115"/>
    <mergeCell ref="AB114:AB115"/>
    <mergeCell ref="AH114:AH115"/>
    <mergeCell ref="Q106:Q107"/>
    <mergeCell ref="R106:R107"/>
    <mergeCell ref="S106:S107"/>
    <mergeCell ref="T106:T107"/>
    <mergeCell ref="W106:W107"/>
    <mergeCell ref="X106:X107"/>
    <mergeCell ref="Y106:Y107"/>
    <mergeCell ref="Z106:Z107"/>
    <mergeCell ref="AC106:AC107"/>
    <mergeCell ref="AD106:AD107"/>
    <mergeCell ref="AE106:AE107"/>
    <mergeCell ref="AF106:AF107"/>
    <mergeCell ref="J116:J117"/>
    <mergeCell ref="P116:P117"/>
    <mergeCell ref="V116:V117"/>
    <mergeCell ref="AB116:AB117"/>
    <mergeCell ref="AH116:AH117"/>
    <mergeCell ref="J118:J119"/>
    <mergeCell ref="P118:P119"/>
    <mergeCell ref="V118:V119"/>
    <mergeCell ref="AB118:AB119"/>
    <mergeCell ref="AH118:AH119"/>
    <mergeCell ref="J120:J121"/>
    <mergeCell ref="P120:P121"/>
    <mergeCell ref="V120:V121"/>
    <mergeCell ref="AB120:AB121"/>
    <mergeCell ref="AH120:AH121"/>
    <mergeCell ref="J122:J123"/>
    <mergeCell ref="P122:P123"/>
    <mergeCell ref="V122:V123"/>
    <mergeCell ref="AB122:AB123"/>
    <mergeCell ref="AH122:AH123"/>
    <mergeCell ref="K122:K123"/>
    <mergeCell ref="L122:L123"/>
    <mergeCell ref="M122:M123"/>
    <mergeCell ref="N122:N123"/>
    <mergeCell ref="Q120:Q121"/>
    <mergeCell ref="R120:R121"/>
    <mergeCell ref="S120:S121"/>
    <mergeCell ref="T120:T121"/>
    <mergeCell ref="Q122:Q123"/>
    <mergeCell ref="R122:R123"/>
    <mergeCell ref="S122:S123"/>
    <mergeCell ref="T122:T123"/>
    <mergeCell ref="J127:J128"/>
    <mergeCell ref="P127:P128"/>
    <mergeCell ref="V127:V128"/>
    <mergeCell ref="AB127:AB128"/>
    <mergeCell ref="AH127:AH128"/>
    <mergeCell ref="J129:J130"/>
    <mergeCell ref="P129:P130"/>
    <mergeCell ref="V129:V130"/>
    <mergeCell ref="AB129:AB130"/>
    <mergeCell ref="AH129:AH130"/>
    <mergeCell ref="J131:J132"/>
    <mergeCell ref="P131:P132"/>
    <mergeCell ref="V131:V132"/>
    <mergeCell ref="AB131:AB132"/>
    <mergeCell ref="AH131:AH132"/>
    <mergeCell ref="J133:J134"/>
    <mergeCell ref="P133:P134"/>
    <mergeCell ref="V133:V134"/>
    <mergeCell ref="AB133:AB134"/>
    <mergeCell ref="AH133:AH134"/>
    <mergeCell ref="Q133:Q134"/>
    <mergeCell ref="R133:R134"/>
    <mergeCell ref="S133:S134"/>
    <mergeCell ref="T133:T134"/>
    <mergeCell ref="P135:P136"/>
    <mergeCell ref="V135:V136"/>
    <mergeCell ref="AB135:AB136"/>
    <mergeCell ref="AH135:AH136"/>
    <mergeCell ref="J137:J138"/>
    <mergeCell ref="P137:P138"/>
    <mergeCell ref="V137:V138"/>
    <mergeCell ref="AB137:AB138"/>
    <mergeCell ref="AH137:AH138"/>
    <mergeCell ref="J139:J140"/>
    <mergeCell ref="P139:P140"/>
    <mergeCell ref="V139:V140"/>
    <mergeCell ref="AB139:AB140"/>
    <mergeCell ref="AH139:AH140"/>
    <mergeCell ref="J141:J142"/>
    <mergeCell ref="P141:P142"/>
    <mergeCell ref="V141:V142"/>
    <mergeCell ref="AB141:AB142"/>
    <mergeCell ref="AH141:AH142"/>
    <mergeCell ref="M137:M138"/>
    <mergeCell ref="N137:N138"/>
    <mergeCell ref="K139:K140"/>
    <mergeCell ref="L139:L140"/>
    <mergeCell ref="M139:M140"/>
    <mergeCell ref="N139:N140"/>
    <mergeCell ref="K141:K142"/>
    <mergeCell ref="L141:L142"/>
    <mergeCell ref="M141:M142"/>
    <mergeCell ref="N141:N142"/>
    <mergeCell ref="Q135:Q136"/>
    <mergeCell ref="R135:R136"/>
    <mergeCell ref="J146:J147"/>
    <mergeCell ref="P146:P147"/>
    <mergeCell ref="V146:V147"/>
    <mergeCell ref="AB146:AB147"/>
    <mergeCell ref="AH146:AH147"/>
    <mergeCell ref="J148:J149"/>
    <mergeCell ref="P148:P149"/>
    <mergeCell ref="V148:V149"/>
    <mergeCell ref="AB148:AB149"/>
    <mergeCell ref="AH148:AH149"/>
    <mergeCell ref="J150:J151"/>
    <mergeCell ref="P150:P151"/>
    <mergeCell ref="V150:V151"/>
    <mergeCell ref="AB150:AB151"/>
    <mergeCell ref="AH150:AH151"/>
    <mergeCell ref="J153:J154"/>
    <mergeCell ref="P153:P154"/>
    <mergeCell ref="V153:V154"/>
    <mergeCell ref="AB153:AB154"/>
    <mergeCell ref="AH153:AH154"/>
    <mergeCell ref="K146:K147"/>
    <mergeCell ref="L146:L147"/>
    <mergeCell ref="M146:M147"/>
    <mergeCell ref="N146:N147"/>
    <mergeCell ref="K148:K149"/>
    <mergeCell ref="L148:L149"/>
    <mergeCell ref="M148:M149"/>
    <mergeCell ref="N148:N149"/>
    <mergeCell ref="K150:K151"/>
    <mergeCell ref="L150:L151"/>
    <mergeCell ref="M150:M151"/>
    <mergeCell ref="N150:N151"/>
    <mergeCell ref="J155:J156"/>
    <mergeCell ref="P155:P156"/>
    <mergeCell ref="V155:V156"/>
    <mergeCell ref="AB155:AB156"/>
    <mergeCell ref="AH155:AH156"/>
    <mergeCell ref="J157:J158"/>
    <mergeCell ref="P157:P158"/>
    <mergeCell ref="V157:V158"/>
    <mergeCell ref="AB157:AB158"/>
    <mergeCell ref="AH157:AH158"/>
    <mergeCell ref="J159:J160"/>
    <mergeCell ref="P159:P160"/>
    <mergeCell ref="V159:V160"/>
    <mergeCell ref="AB159:AB160"/>
    <mergeCell ref="AH159:AH160"/>
    <mergeCell ref="J161:J162"/>
    <mergeCell ref="P161:P162"/>
    <mergeCell ref="V161:V162"/>
    <mergeCell ref="AB161:AB162"/>
    <mergeCell ref="AH161:AH162"/>
    <mergeCell ref="K159:K160"/>
    <mergeCell ref="K161:K162"/>
    <mergeCell ref="L161:L162"/>
    <mergeCell ref="L159:L160"/>
    <mergeCell ref="Q155:Q156"/>
    <mergeCell ref="R155:R156"/>
    <mergeCell ref="S155:S156"/>
    <mergeCell ref="T155:T156"/>
    <mergeCell ref="Q157:Q158"/>
    <mergeCell ref="R157:R158"/>
    <mergeCell ref="S157:S158"/>
    <mergeCell ref="T157:T158"/>
    <mergeCell ref="J163:J164"/>
    <mergeCell ref="P163:P164"/>
    <mergeCell ref="V163:V164"/>
    <mergeCell ref="AB163:AB164"/>
    <mergeCell ref="AH163:AH164"/>
    <mergeCell ref="J165:J166"/>
    <mergeCell ref="P165:P166"/>
    <mergeCell ref="V165:V166"/>
    <mergeCell ref="AB165:AB166"/>
    <mergeCell ref="AH165:AH166"/>
    <mergeCell ref="J167:J168"/>
    <mergeCell ref="P167:P168"/>
    <mergeCell ref="V167:V168"/>
    <mergeCell ref="AB167:AB168"/>
    <mergeCell ref="AH167:AH168"/>
    <mergeCell ref="J169:J170"/>
    <mergeCell ref="P169:P170"/>
    <mergeCell ref="V169:V170"/>
    <mergeCell ref="AB169:AB170"/>
    <mergeCell ref="AH169:AH170"/>
    <mergeCell ref="K163:K164"/>
    <mergeCell ref="K165:K166"/>
    <mergeCell ref="K167:K168"/>
    <mergeCell ref="K169:K170"/>
    <mergeCell ref="L167:L168"/>
    <mergeCell ref="L163:L164"/>
    <mergeCell ref="L165:L166"/>
    <mergeCell ref="M165:M166"/>
    <mergeCell ref="N165:N166"/>
    <mergeCell ref="M167:M168"/>
    <mergeCell ref="N167:N168"/>
    <mergeCell ref="L169:L170"/>
    <mergeCell ref="J171:J172"/>
    <mergeCell ref="P171:P172"/>
    <mergeCell ref="V171:V172"/>
    <mergeCell ref="AB171:AB172"/>
    <mergeCell ref="AH171:AH172"/>
    <mergeCell ref="J173:J174"/>
    <mergeCell ref="P173:P174"/>
    <mergeCell ref="V173:V174"/>
    <mergeCell ref="AB173:AB174"/>
    <mergeCell ref="AH173:AH174"/>
    <mergeCell ref="J175:J176"/>
    <mergeCell ref="P175:P176"/>
    <mergeCell ref="V175:V176"/>
    <mergeCell ref="AB175:AB176"/>
    <mergeCell ref="AH175:AH176"/>
    <mergeCell ref="J177:J178"/>
    <mergeCell ref="P177:P178"/>
    <mergeCell ref="V177:V178"/>
    <mergeCell ref="AB177:AB178"/>
    <mergeCell ref="AH177:AH178"/>
    <mergeCell ref="K171:K172"/>
    <mergeCell ref="K173:K174"/>
    <mergeCell ref="K175:K176"/>
    <mergeCell ref="K177:K178"/>
    <mergeCell ref="L173:L174"/>
    <mergeCell ref="W177:W178"/>
    <mergeCell ref="X177:X178"/>
    <mergeCell ref="Y177:Y178"/>
    <mergeCell ref="Z177:Z178"/>
    <mergeCell ref="AA177:AA178"/>
    <mergeCell ref="AC177:AC178"/>
    <mergeCell ref="AD177:AD178"/>
    <mergeCell ref="J179:J180"/>
    <mergeCell ref="P179:P180"/>
    <mergeCell ref="V179:V180"/>
    <mergeCell ref="AB179:AB180"/>
    <mergeCell ref="AH179:AH180"/>
    <mergeCell ref="J181:J182"/>
    <mergeCell ref="P181:P182"/>
    <mergeCell ref="V181:V182"/>
    <mergeCell ref="AB181:AB182"/>
    <mergeCell ref="AH181:AH182"/>
    <mergeCell ref="J183:J184"/>
    <mergeCell ref="P183:P184"/>
    <mergeCell ref="V183:V184"/>
    <mergeCell ref="AB183:AB184"/>
    <mergeCell ref="AH183:AH184"/>
    <mergeCell ref="J185:J186"/>
    <mergeCell ref="P185:P186"/>
    <mergeCell ref="V185:V186"/>
    <mergeCell ref="AB185:AB186"/>
    <mergeCell ref="AH185:AH186"/>
    <mergeCell ref="K179:K180"/>
    <mergeCell ref="K181:K182"/>
    <mergeCell ref="K183:K184"/>
    <mergeCell ref="K185:K186"/>
    <mergeCell ref="L183:L184"/>
    <mergeCell ref="M183:M184"/>
    <mergeCell ref="N183:N184"/>
    <mergeCell ref="L185:L186"/>
    <mergeCell ref="M185:M186"/>
    <mergeCell ref="N185:N186"/>
    <mergeCell ref="Q179:Q180"/>
    <mergeCell ref="R179:R180"/>
    <mergeCell ref="AH187:AH188"/>
    <mergeCell ref="J190:J191"/>
    <mergeCell ref="P190:P191"/>
    <mergeCell ref="V190:V191"/>
    <mergeCell ref="AB190:AB191"/>
    <mergeCell ref="AH190:AH191"/>
    <mergeCell ref="L187:L188"/>
    <mergeCell ref="M187:M188"/>
    <mergeCell ref="N187:N188"/>
    <mergeCell ref="K190:K191"/>
    <mergeCell ref="D196:D197"/>
    <mergeCell ref="J196:J197"/>
    <mergeCell ref="P196:P197"/>
    <mergeCell ref="V196:V197"/>
    <mergeCell ref="AB196:AB197"/>
    <mergeCell ref="J187:J188"/>
    <mergeCell ref="P187:P188"/>
    <mergeCell ref="V187:V188"/>
    <mergeCell ref="AB187:AB188"/>
    <mergeCell ref="B194:AH194"/>
    <mergeCell ref="H187:H188"/>
    <mergeCell ref="K187:K188"/>
    <mergeCell ref="W187:W188"/>
    <mergeCell ref="X187:X188"/>
    <mergeCell ref="Y187:Y188"/>
    <mergeCell ref="Z187:Z188"/>
    <mergeCell ref="AA187:AA188"/>
    <mergeCell ref="W190:W191"/>
    <mergeCell ref="X190:X191"/>
    <mergeCell ref="Y190:Y191"/>
    <mergeCell ref="Z190:Z191"/>
    <mergeCell ref="AA190:AA191"/>
    <mergeCell ref="AH198:AH199"/>
    <mergeCell ref="J192:J193"/>
    <mergeCell ref="P192:P193"/>
    <mergeCell ref="V192:V193"/>
    <mergeCell ref="AB192:AB193"/>
    <mergeCell ref="AH192:AH193"/>
    <mergeCell ref="B195:AH195"/>
    <mergeCell ref="D198:D199"/>
    <mergeCell ref="E196:E197"/>
    <mergeCell ref="E198:E199"/>
    <mergeCell ref="D202:D203"/>
    <mergeCell ref="J202:J203"/>
    <mergeCell ref="P202:P203"/>
    <mergeCell ref="V202:V203"/>
    <mergeCell ref="AB202:AB203"/>
    <mergeCell ref="AH196:AH197"/>
    <mergeCell ref="J198:J199"/>
    <mergeCell ref="P198:P199"/>
    <mergeCell ref="V198:V199"/>
    <mergeCell ref="AB198:AB199"/>
    <mergeCell ref="T192:T193"/>
    <mergeCell ref="W192:W193"/>
    <mergeCell ref="X192:X193"/>
    <mergeCell ref="Y192:Y193"/>
    <mergeCell ref="Z192:Z193"/>
    <mergeCell ref="AA192:AA193"/>
    <mergeCell ref="K196:K197"/>
    <mergeCell ref="L196:L197"/>
    <mergeCell ref="M196:M197"/>
    <mergeCell ref="N196:N197"/>
    <mergeCell ref="K198:K199"/>
    <mergeCell ref="L198:L199"/>
    <mergeCell ref="AH204:AH205"/>
    <mergeCell ref="J200:J201"/>
    <mergeCell ref="P200:P201"/>
    <mergeCell ref="V200:V201"/>
    <mergeCell ref="AB200:AB201"/>
    <mergeCell ref="AH200:AH201"/>
    <mergeCell ref="K200:K201"/>
    <mergeCell ref="L200:L201"/>
    <mergeCell ref="M200:M201"/>
    <mergeCell ref="N200:N201"/>
    <mergeCell ref="J206:J207"/>
    <mergeCell ref="P206:P207"/>
    <mergeCell ref="V206:V207"/>
    <mergeCell ref="AB206:AB207"/>
    <mergeCell ref="AH206:AH207"/>
    <mergeCell ref="AH202:AH203"/>
    <mergeCell ref="J204:J205"/>
    <mergeCell ref="P204:P205"/>
    <mergeCell ref="V204:V205"/>
    <mergeCell ref="AB204:AB205"/>
    <mergeCell ref="Q206:Q207"/>
    <mergeCell ref="R206:R207"/>
    <mergeCell ref="S206:S207"/>
    <mergeCell ref="T206:T207"/>
    <mergeCell ref="J210:J211"/>
    <mergeCell ref="P210:P211"/>
    <mergeCell ref="V210:V211"/>
    <mergeCell ref="AB210:AB211"/>
    <mergeCell ref="AH210:AH211"/>
    <mergeCell ref="J208:J209"/>
    <mergeCell ref="P208:P209"/>
    <mergeCell ref="V208:V209"/>
    <mergeCell ref="AB208:AB209"/>
    <mergeCell ref="AH208:AH209"/>
    <mergeCell ref="AH215:AH216"/>
    <mergeCell ref="D213:D214"/>
    <mergeCell ref="J213:J214"/>
    <mergeCell ref="P213:P214"/>
    <mergeCell ref="V213:V214"/>
    <mergeCell ref="AB213:AB214"/>
    <mergeCell ref="AH213:AH214"/>
    <mergeCell ref="E213:E214"/>
    <mergeCell ref="F213:F214"/>
    <mergeCell ref="G213:G214"/>
    <mergeCell ref="F208:F209"/>
    <mergeCell ref="G208:G209"/>
    <mergeCell ref="H208:H209"/>
    <mergeCell ref="F210:F211"/>
    <mergeCell ref="G210:G211"/>
    <mergeCell ref="H210:H211"/>
    <mergeCell ref="K210:K211"/>
    <mergeCell ref="L210:L211"/>
    <mergeCell ref="M210:M211"/>
    <mergeCell ref="N210:N211"/>
    <mergeCell ref="Q208:Q209"/>
    <mergeCell ref="R208:R209"/>
    <mergeCell ref="P215:P216"/>
    <mergeCell ref="V215:V216"/>
    <mergeCell ref="AB215:AB216"/>
    <mergeCell ref="J249:J250"/>
    <mergeCell ref="J217:J218"/>
    <mergeCell ref="P217:P218"/>
    <mergeCell ref="V217:V218"/>
    <mergeCell ref="AB217:AB218"/>
    <mergeCell ref="AH217:AH218"/>
    <mergeCell ref="J237:J238"/>
    <mergeCell ref="P237:P238"/>
    <mergeCell ref="P239:P240"/>
    <mergeCell ref="P241:P242"/>
    <mergeCell ref="E243:E244"/>
    <mergeCell ref="F243:F244"/>
    <mergeCell ref="G243:G244"/>
    <mergeCell ref="H243:H244"/>
    <mergeCell ref="E241:E242"/>
    <mergeCell ref="F241:F242"/>
    <mergeCell ref="G241:G242"/>
    <mergeCell ref="H241:H242"/>
    <mergeCell ref="E239:E240"/>
    <mergeCell ref="F239:F240"/>
    <mergeCell ref="G239:G240"/>
    <mergeCell ref="H239:H240"/>
    <mergeCell ref="W241:W242"/>
    <mergeCell ref="X241:X242"/>
    <mergeCell ref="Y241:Y242"/>
    <mergeCell ref="Z241:Z242"/>
    <mergeCell ref="P243:P244"/>
    <mergeCell ref="P245:P246"/>
    <mergeCell ref="P247:P248"/>
    <mergeCell ref="D96:D97"/>
    <mergeCell ref="D98:D99"/>
    <mergeCell ref="D100:D101"/>
    <mergeCell ref="J239:J240"/>
    <mergeCell ref="J241:J242"/>
    <mergeCell ref="J243:J244"/>
    <mergeCell ref="J245:J246"/>
    <mergeCell ref="J247:J248"/>
    <mergeCell ref="D78:D79"/>
    <mergeCell ref="D83:D84"/>
    <mergeCell ref="D85:D86"/>
    <mergeCell ref="D87:D88"/>
    <mergeCell ref="D89:D90"/>
    <mergeCell ref="D91:D92"/>
    <mergeCell ref="D93:D94"/>
    <mergeCell ref="D102:D103"/>
    <mergeCell ref="D104:D105"/>
    <mergeCell ref="D106:D107"/>
    <mergeCell ref="D110:D111"/>
    <mergeCell ref="D112:D113"/>
    <mergeCell ref="D114:D115"/>
    <mergeCell ref="D116:D117"/>
    <mergeCell ref="D118:D119"/>
    <mergeCell ref="D120:D121"/>
    <mergeCell ref="D122:D123"/>
    <mergeCell ref="D125:D126"/>
    <mergeCell ref="D127:D128"/>
    <mergeCell ref="D129:D130"/>
    <mergeCell ref="D131:D132"/>
    <mergeCell ref="D133:D134"/>
    <mergeCell ref="G222:H222"/>
    <mergeCell ref="D215:D216"/>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253:D254"/>
    <mergeCell ref="D192:D193"/>
    <mergeCell ref="D237:D238"/>
    <mergeCell ref="D239:D240"/>
    <mergeCell ref="D241:D242"/>
    <mergeCell ref="D243:D244"/>
    <mergeCell ref="D245:D246"/>
    <mergeCell ref="D210:D211"/>
    <mergeCell ref="D206:D207"/>
    <mergeCell ref="D204:D205"/>
    <mergeCell ref="D208:D209"/>
    <mergeCell ref="D247:D248"/>
    <mergeCell ref="D249:D250"/>
    <mergeCell ref="D251:D252"/>
    <mergeCell ref="D179:D180"/>
    <mergeCell ref="D181:D182"/>
    <mergeCell ref="D183:D184"/>
    <mergeCell ref="D185:D186"/>
    <mergeCell ref="D187:D188"/>
    <mergeCell ref="D190:D191"/>
    <mergeCell ref="Y15:Y16"/>
    <mergeCell ref="Z15:Z16"/>
    <mergeCell ref="AA15:AA16"/>
    <mergeCell ref="AC15:AC16"/>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M19:M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E21:E22"/>
    <mergeCell ref="F21:F22"/>
    <mergeCell ref="G21:G22"/>
    <mergeCell ref="H21:H22"/>
    <mergeCell ref="K21:K22"/>
    <mergeCell ref="L21:L22"/>
    <mergeCell ref="M21:M22"/>
    <mergeCell ref="N21:N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T23:T24"/>
    <mergeCell ref="U23:U24"/>
    <mergeCell ref="W23:W24"/>
    <mergeCell ref="X23:X24"/>
    <mergeCell ref="Y23:Y24"/>
    <mergeCell ref="Z23:Z24"/>
    <mergeCell ref="AA23:AA24"/>
    <mergeCell ref="AC23:AC24"/>
    <mergeCell ref="AD23:AD24"/>
    <mergeCell ref="AE23:AE24"/>
    <mergeCell ref="AF23:AF24"/>
    <mergeCell ref="AG23:AG24"/>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E29:E30"/>
    <mergeCell ref="F29:F30"/>
    <mergeCell ref="G29:G30"/>
    <mergeCell ref="H29:H30"/>
    <mergeCell ref="K29:K30"/>
    <mergeCell ref="L29:L30"/>
    <mergeCell ref="M29:M30"/>
    <mergeCell ref="N29:N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M31:M32"/>
    <mergeCell ref="N31:N32"/>
    <mergeCell ref="Q31:Q32"/>
    <mergeCell ref="T31:T32"/>
    <mergeCell ref="U31:U32"/>
    <mergeCell ref="W31:W32"/>
    <mergeCell ref="X31:X32"/>
    <mergeCell ref="Y31:Y32"/>
    <mergeCell ref="Z31:Z32"/>
    <mergeCell ref="AA31:AA32"/>
    <mergeCell ref="AC31:AC32"/>
    <mergeCell ref="AD31:AD32"/>
    <mergeCell ref="AE31:AE32"/>
    <mergeCell ref="AF31:AF32"/>
    <mergeCell ref="AG31:AG32"/>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E35:E36"/>
    <mergeCell ref="F35:F36"/>
    <mergeCell ref="G35:G36"/>
    <mergeCell ref="H35:H36"/>
    <mergeCell ref="K35:K36"/>
    <mergeCell ref="L35:L36"/>
    <mergeCell ref="M35:M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X37:X38"/>
    <mergeCell ref="Y37:Y38"/>
    <mergeCell ref="Z37:Z38"/>
    <mergeCell ref="AA37:AA38"/>
    <mergeCell ref="AC37:AC38"/>
    <mergeCell ref="AD37:AD38"/>
    <mergeCell ref="AE37:AE38"/>
    <mergeCell ref="AF37:AF38"/>
    <mergeCell ref="AG37:AG38"/>
    <mergeCell ref="E40:E41"/>
    <mergeCell ref="F40:F41"/>
    <mergeCell ref="G40:G41"/>
    <mergeCell ref="H40:H41"/>
    <mergeCell ref="E42:E43"/>
    <mergeCell ref="F42:F43"/>
    <mergeCell ref="G42:G43"/>
    <mergeCell ref="H42:H43"/>
    <mergeCell ref="K40:K41"/>
    <mergeCell ref="O40:O41"/>
    <mergeCell ref="K42:K43"/>
    <mergeCell ref="L42:L43"/>
    <mergeCell ref="M42:M43"/>
    <mergeCell ref="N42:N43"/>
    <mergeCell ref="O42:O43"/>
    <mergeCell ref="N56:N57"/>
    <mergeCell ref="O56:O57"/>
    <mergeCell ref="Q40:Q41"/>
    <mergeCell ref="Q44:Q45"/>
    <mergeCell ref="Q48:Q49"/>
    <mergeCell ref="Q52:Q53"/>
    <mergeCell ref="Q56:Q57"/>
    <mergeCell ref="R40:R41"/>
    <mergeCell ref="S40:S41"/>
    <mergeCell ref="T40:T41"/>
    <mergeCell ref="Q42:Q43"/>
    <mergeCell ref="R42:R43"/>
    <mergeCell ref="S42:S43"/>
    <mergeCell ref="T42:T43"/>
    <mergeCell ref="R44:R45"/>
    <mergeCell ref="S44:S45"/>
    <mergeCell ref="T44:T45"/>
    <mergeCell ref="Q46:Q47"/>
    <mergeCell ref="R46:R47"/>
    <mergeCell ref="S46:S47"/>
    <mergeCell ref="T46:T47"/>
    <mergeCell ref="R48:R49"/>
    <mergeCell ref="S48:S49"/>
    <mergeCell ref="T48:T49"/>
    <mergeCell ref="Q50:Q51"/>
    <mergeCell ref="R50:R51"/>
    <mergeCell ref="S50:S51"/>
    <mergeCell ref="T50:T51"/>
    <mergeCell ref="R52:R53"/>
    <mergeCell ref="S52:S53"/>
    <mergeCell ref="T52:T53"/>
    <mergeCell ref="Q54:Q55"/>
    <mergeCell ref="R54:R55"/>
    <mergeCell ref="S54:S55"/>
    <mergeCell ref="T54:T55"/>
    <mergeCell ref="R56:R57"/>
    <mergeCell ref="S56:S57"/>
    <mergeCell ref="T56:T57"/>
    <mergeCell ref="AC42:AC43"/>
    <mergeCell ref="AD42:AD43"/>
    <mergeCell ref="AE42:AE43"/>
    <mergeCell ref="AC44:AC45"/>
    <mergeCell ref="AD44:AD45"/>
    <mergeCell ref="AE44:AE45"/>
    <mergeCell ref="AC50:AC51"/>
    <mergeCell ref="AF44:AF45"/>
    <mergeCell ref="AC46:AC47"/>
    <mergeCell ref="AD46:AD47"/>
    <mergeCell ref="AE46:AE47"/>
    <mergeCell ref="AF46:AF47"/>
    <mergeCell ref="AC48:AC49"/>
    <mergeCell ref="AD48:AD49"/>
    <mergeCell ref="AE48:AE49"/>
    <mergeCell ref="AF48:AF49"/>
    <mergeCell ref="AD50:AD51"/>
    <mergeCell ref="AE50:AE51"/>
    <mergeCell ref="AF50:AF51"/>
    <mergeCell ref="AC52:AC53"/>
    <mergeCell ref="AD52:AD53"/>
    <mergeCell ref="AE52:AE53"/>
    <mergeCell ref="AF52:AF53"/>
    <mergeCell ref="AC56:AC57"/>
    <mergeCell ref="AD56:AD57"/>
    <mergeCell ref="AE56:AE57"/>
    <mergeCell ref="AF56:AF57"/>
    <mergeCell ref="W42:W43"/>
    <mergeCell ref="X42:X43"/>
    <mergeCell ref="Y42:Y43"/>
    <mergeCell ref="Z42:Z43"/>
    <mergeCell ref="W44:W45"/>
    <mergeCell ref="X44:X45"/>
    <mergeCell ref="Y44:Y45"/>
    <mergeCell ref="Z44:Z45"/>
    <mergeCell ref="W46:W47"/>
    <mergeCell ref="X46:X47"/>
    <mergeCell ref="Y46:Y47"/>
    <mergeCell ref="Z46:Z47"/>
    <mergeCell ref="W48:W49"/>
    <mergeCell ref="X48:X49"/>
    <mergeCell ref="Y48:Y49"/>
    <mergeCell ref="Z48:Z49"/>
    <mergeCell ref="W50:W51"/>
    <mergeCell ref="X50:X51"/>
    <mergeCell ref="Y50:Y51"/>
    <mergeCell ref="Z50:Z51"/>
    <mergeCell ref="W52:W53"/>
    <mergeCell ref="X52:X53"/>
    <mergeCell ref="Y52:Y53"/>
    <mergeCell ref="Z52:Z53"/>
    <mergeCell ref="W54:W55"/>
    <mergeCell ref="X54:X55"/>
    <mergeCell ref="Y54:Y55"/>
    <mergeCell ref="Z54:Z55"/>
    <mergeCell ref="W56:W57"/>
    <mergeCell ref="X56:X57"/>
    <mergeCell ref="Y56:Y57"/>
    <mergeCell ref="Z56:Z57"/>
    <mergeCell ref="E59:E60"/>
    <mergeCell ref="F59:F60"/>
    <mergeCell ref="G59:G60"/>
    <mergeCell ref="H59:H60"/>
    <mergeCell ref="K59:K60"/>
    <mergeCell ref="L59:L60"/>
    <mergeCell ref="K61:K62"/>
    <mergeCell ref="L61:L62"/>
    <mergeCell ref="M61:M62"/>
    <mergeCell ref="N61:N62"/>
    <mergeCell ref="K63:K64"/>
    <mergeCell ref="L63:L64"/>
    <mergeCell ref="M63:M64"/>
    <mergeCell ref="N63:N64"/>
    <mergeCell ref="K65:K66"/>
    <mergeCell ref="L65:L66"/>
    <mergeCell ref="M65:M66"/>
    <mergeCell ref="N65:N66"/>
    <mergeCell ref="S59:S60"/>
    <mergeCell ref="T59:T60"/>
    <mergeCell ref="Q61:Q62"/>
    <mergeCell ref="R61:R62"/>
    <mergeCell ref="S61:S62"/>
    <mergeCell ref="T61:T62"/>
    <mergeCell ref="Q63:Q64"/>
    <mergeCell ref="R63:R64"/>
    <mergeCell ref="S63:S64"/>
    <mergeCell ref="T63:T64"/>
    <mergeCell ref="Q65:Q66"/>
    <mergeCell ref="R65:R66"/>
    <mergeCell ref="S65:S66"/>
    <mergeCell ref="Q69:Q70"/>
    <mergeCell ref="R69:R70"/>
    <mergeCell ref="S69:S70"/>
    <mergeCell ref="T69:T70"/>
    <mergeCell ref="Q71:Q72"/>
    <mergeCell ref="R71:R72"/>
    <mergeCell ref="S71:S72"/>
    <mergeCell ref="T71:T72"/>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Z78:Z79"/>
    <mergeCell ref="AC74:AC75"/>
    <mergeCell ref="AD74:AD75"/>
    <mergeCell ref="AE74:AE75"/>
    <mergeCell ref="AF74:AF75"/>
    <mergeCell ref="AC78:AC79"/>
    <mergeCell ref="AD78:AD79"/>
    <mergeCell ref="AE78:AE79"/>
    <mergeCell ref="AF78:AF79"/>
    <mergeCell ref="E89:E90"/>
    <mergeCell ref="F89:F90"/>
    <mergeCell ref="G89:G90"/>
    <mergeCell ref="H89:H90"/>
    <mergeCell ref="E91:E92"/>
    <mergeCell ref="F91:F92"/>
    <mergeCell ref="G91:G92"/>
    <mergeCell ref="H91:H92"/>
    <mergeCell ref="E93:E94"/>
    <mergeCell ref="F93:F94"/>
    <mergeCell ref="G93:G94"/>
    <mergeCell ref="H93:H94"/>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E96:E97"/>
    <mergeCell ref="F96:F97"/>
    <mergeCell ref="G96:G97"/>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Q96:Q97"/>
    <mergeCell ref="R96:R97"/>
    <mergeCell ref="S96:S97"/>
    <mergeCell ref="T96:T97"/>
    <mergeCell ref="Q98:Q99"/>
    <mergeCell ref="R98:R99"/>
    <mergeCell ref="S98:S99"/>
    <mergeCell ref="T98:T99"/>
    <mergeCell ref="Q100:Q101"/>
    <mergeCell ref="R100:R101"/>
    <mergeCell ref="S100:S101"/>
    <mergeCell ref="T100:T101"/>
    <mergeCell ref="E104:E105"/>
    <mergeCell ref="F104:F105"/>
    <mergeCell ref="G104:G105"/>
    <mergeCell ref="H104:H105"/>
    <mergeCell ref="E106:E107"/>
    <mergeCell ref="F106:F107"/>
    <mergeCell ref="G106:G107"/>
    <mergeCell ref="H106:H107"/>
    <mergeCell ref="K96:K97"/>
    <mergeCell ref="L96:L97"/>
    <mergeCell ref="M96:M97"/>
    <mergeCell ref="N96:N97"/>
    <mergeCell ref="K98:K99"/>
    <mergeCell ref="L98:L99"/>
    <mergeCell ref="M98:M99"/>
    <mergeCell ref="N98:N99"/>
    <mergeCell ref="K100:K101"/>
    <mergeCell ref="L100:L101"/>
    <mergeCell ref="M100:M101"/>
    <mergeCell ref="N100:N101"/>
    <mergeCell ref="K102:K103"/>
    <mergeCell ref="L102:L103"/>
    <mergeCell ref="M102:M103"/>
    <mergeCell ref="N102:N103"/>
    <mergeCell ref="K104:K105"/>
    <mergeCell ref="L104:L105"/>
    <mergeCell ref="M104:M105"/>
    <mergeCell ref="N104:N105"/>
    <mergeCell ref="K106:K107"/>
    <mergeCell ref="L106:L107"/>
    <mergeCell ref="M106:M107"/>
    <mergeCell ref="N106:N107"/>
    <mergeCell ref="W96:W97"/>
    <mergeCell ref="X96:X97"/>
    <mergeCell ref="Y96:Y97"/>
    <mergeCell ref="Z96:Z9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M110:M111"/>
    <mergeCell ref="N110:N111"/>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X116:X117"/>
    <mergeCell ref="Y116:Y117"/>
    <mergeCell ref="Z116:Z117"/>
    <mergeCell ref="Y118:Y119"/>
    <mergeCell ref="Z118:Z119"/>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T131:T132"/>
    <mergeCell ref="AC127:AC128"/>
    <mergeCell ref="AC131:AC132"/>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E139:E140"/>
    <mergeCell ref="F139:F140"/>
    <mergeCell ref="G139:G140"/>
    <mergeCell ref="H139:H140"/>
    <mergeCell ref="E141:E142"/>
    <mergeCell ref="F141:F142"/>
    <mergeCell ref="G141:G142"/>
    <mergeCell ref="H141:H142"/>
    <mergeCell ref="AC122:AC123"/>
    <mergeCell ref="AD122:AD123"/>
    <mergeCell ref="AE122:AE123"/>
    <mergeCell ref="AF122:AF123"/>
    <mergeCell ref="E127:E128"/>
    <mergeCell ref="F127:F128"/>
    <mergeCell ref="G127:G128"/>
    <mergeCell ref="H127:H128"/>
    <mergeCell ref="K127:K128"/>
    <mergeCell ref="L127:L128"/>
    <mergeCell ref="E129:E130"/>
    <mergeCell ref="F129:F130"/>
    <mergeCell ref="G129:G130"/>
    <mergeCell ref="H129:H130"/>
    <mergeCell ref="E131:E132"/>
    <mergeCell ref="F131:F132"/>
    <mergeCell ref="G131:G132"/>
    <mergeCell ref="H131:H132"/>
    <mergeCell ref="Q127:Q128"/>
    <mergeCell ref="R127:R128"/>
    <mergeCell ref="Q131:Q132"/>
    <mergeCell ref="R131:R132"/>
    <mergeCell ref="S127:S128"/>
    <mergeCell ref="T127:T128"/>
    <mergeCell ref="L135:L136"/>
    <mergeCell ref="M135:M136"/>
    <mergeCell ref="N135:N136"/>
    <mergeCell ref="K137:K138"/>
    <mergeCell ref="L137:L138"/>
    <mergeCell ref="E133:E134"/>
    <mergeCell ref="F133:F134"/>
    <mergeCell ref="G133:G134"/>
    <mergeCell ref="H133:H134"/>
    <mergeCell ref="E135:E136"/>
    <mergeCell ref="F135:F136"/>
    <mergeCell ref="G135:G136"/>
    <mergeCell ref="H135:H136"/>
    <mergeCell ref="E137:E138"/>
    <mergeCell ref="F137:F138"/>
    <mergeCell ref="G137:G138"/>
    <mergeCell ref="H137:H138"/>
    <mergeCell ref="J135:J136"/>
    <mergeCell ref="Y127:Y128"/>
    <mergeCell ref="X131:X132"/>
    <mergeCell ref="Y131:Y132"/>
    <mergeCell ref="X135:X136"/>
    <mergeCell ref="Y135:Y136"/>
    <mergeCell ref="E146:E147"/>
    <mergeCell ref="F146:F147"/>
    <mergeCell ref="G146:G147"/>
    <mergeCell ref="H146:H147"/>
    <mergeCell ref="E148:E149"/>
    <mergeCell ref="F148:F149"/>
    <mergeCell ref="G148:G149"/>
    <mergeCell ref="H148:H149"/>
    <mergeCell ref="E150:E151"/>
    <mergeCell ref="F150:F151"/>
    <mergeCell ref="G150:G151"/>
    <mergeCell ref="H150:H151"/>
    <mergeCell ref="M127:M128"/>
    <mergeCell ref="N127:N128"/>
    <mergeCell ref="K129:K130"/>
    <mergeCell ref="L129:L130"/>
    <mergeCell ref="M129:M130"/>
    <mergeCell ref="N129:N130"/>
    <mergeCell ref="K131:K132"/>
    <mergeCell ref="L131:L132"/>
    <mergeCell ref="M131:M132"/>
    <mergeCell ref="N131:N132"/>
    <mergeCell ref="K133:K134"/>
    <mergeCell ref="L133:L134"/>
    <mergeCell ref="M133:M134"/>
    <mergeCell ref="N133:N134"/>
    <mergeCell ref="K135:K136"/>
    <mergeCell ref="Z135:Z136"/>
    <mergeCell ref="X137:X138"/>
    <mergeCell ref="Y137:Y138"/>
    <mergeCell ref="Z137:Z138"/>
    <mergeCell ref="S135:S136"/>
    <mergeCell ref="T135:T136"/>
    <mergeCell ref="Q137:Q138"/>
    <mergeCell ref="R137:R138"/>
    <mergeCell ref="S137:S138"/>
    <mergeCell ref="T137:T138"/>
    <mergeCell ref="R139:R140"/>
    <mergeCell ref="S139:S140"/>
    <mergeCell ref="T139:T140"/>
    <mergeCell ref="Q141:Q142"/>
    <mergeCell ref="R141:R142"/>
    <mergeCell ref="S141:S142"/>
    <mergeCell ref="T141:T142"/>
    <mergeCell ref="M159:M160"/>
    <mergeCell ref="N159:N160"/>
    <mergeCell ref="M161:M162"/>
    <mergeCell ref="N161:N162"/>
    <mergeCell ref="M163:M164"/>
    <mergeCell ref="N163:N164"/>
    <mergeCell ref="Q146:Q147"/>
    <mergeCell ref="R146:R147"/>
    <mergeCell ref="S146:S147"/>
    <mergeCell ref="T146:T147"/>
    <mergeCell ref="Q139:Q140"/>
    <mergeCell ref="O241:O242"/>
    <mergeCell ref="Q150:Q151"/>
    <mergeCell ref="R150:R151"/>
    <mergeCell ref="S150:S151"/>
    <mergeCell ref="T150:T151"/>
    <mergeCell ref="X127:X128"/>
    <mergeCell ref="Q148:Q149"/>
    <mergeCell ref="R148:R149"/>
    <mergeCell ref="S148:S149"/>
    <mergeCell ref="T148:T149"/>
    <mergeCell ref="M241:M242"/>
    <mergeCell ref="X129:X130"/>
    <mergeCell ref="N241:N242"/>
    <mergeCell ref="N239:N240"/>
    <mergeCell ref="X133:X134"/>
    <mergeCell ref="O239:O240"/>
    <mergeCell ref="Q129:Q130"/>
    <mergeCell ref="R129:R130"/>
    <mergeCell ref="S129:S130"/>
    <mergeCell ref="T129:T130"/>
    <mergeCell ref="S131:S132"/>
    <mergeCell ref="Y146:Y147"/>
    <mergeCell ref="Z146:Z147"/>
    <mergeCell ref="X148:X149"/>
    <mergeCell ref="Y148:Y149"/>
    <mergeCell ref="Z148:Z149"/>
    <mergeCell ref="X139:X140"/>
    <mergeCell ref="Y139:Y140"/>
    <mergeCell ref="Z139:Z140"/>
    <mergeCell ref="X141:X142"/>
    <mergeCell ref="Y141:Y142"/>
    <mergeCell ref="X150:X151"/>
    <mergeCell ref="Y150:Y151"/>
    <mergeCell ref="Z150:Z151"/>
    <mergeCell ref="W127:W128"/>
    <mergeCell ref="W129:W130"/>
    <mergeCell ref="W131:W132"/>
    <mergeCell ref="W133:W134"/>
    <mergeCell ref="W135:W136"/>
    <mergeCell ref="W137:W138"/>
    <mergeCell ref="X146:X147"/>
    <mergeCell ref="W139:W140"/>
    <mergeCell ref="W141:W142"/>
    <mergeCell ref="W146:W147"/>
    <mergeCell ref="W148:W149"/>
    <mergeCell ref="W150:W151"/>
    <mergeCell ref="Z127:Z128"/>
    <mergeCell ref="Y129:Y130"/>
    <mergeCell ref="Z129:Z130"/>
    <mergeCell ref="Z131:Z132"/>
    <mergeCell ref="Y133:Y134"/>
    <mergeCell ref="Z133:Z134"/>
    <mergeCell ref="Z141:Z142"/>
    <mergeCell ref="AC135:AC136"/>
    <mergeCell ref="AC139:AC140"/>
    <mergeCell ref="AC146:AC147"/>
    <mergeCell ref="AD127:AD128"/>
    <mergeCell ref="AE127:AE128"/>
    <mergeCell ref="AF127:AF128"/>
    <mergeCell ref="AC129:AC130"/>
    <mergeCell ref="AD129:AD130"/>
    <mergeCell ref="AE129:AE130"/>
    <mergeCell ref="AF129:AF130"/>
    <mergeCell ref="AD131:AD132"/>
    <mergeCell ref="AE131:AE132"/>
    <mergeCell ref="AF131:AF132"/>
    <mergeCell ref="AC133:AC134"/>
    <mergeCell ref="AD133:AD134"/>
    <mergeCell ref="AE133:AE134"/>
    <mergeCell ref="AF133:AF134"/>
    <mergeCell ref="AD135:AD136"/>
    <mergeCell ref="AE135:AE136"/>
    <mergeCell ref="AF135:AF136"/>
    <mergeCell ref="AC137:AC138"/>
    <mergeCell ref="AD137:AD138"/>
    <mergeCell ref="AE137:AE138"/>
    <mergeCell ref="AF137:AF138"/>
    <mergeCell ref="AD139:AD140"/>
    <mergeCell ref="AE139:AE140"/>
    <mergeCell ref="AF139:AF140"/>
    <mergeCell ref="AC141:AC142"/>
    <mergeCell ref="AD141:AD142"/>
    <mergeCell ref="AE141:AE142"/>
    <mergeCell ref="AF141:AF142"/>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53:E154"/>
    <mergeCell ref="E155:E156"/>
    <mergeCell ref="H153:H154"/>
    <mergeCell ref="H155:H156"/>
    <mergeCell ref="M153:M154"/>
    <mergeCell ref="N153:N154"/>
    <mergeCell ref="E157:E158"/>
    <mergeCell ref="H157:H158"/>
    <mergeCell ref="K153:K154"/>
    <mergeCell ref="K155:K156"/>
    <mergeCell ref="K157:K158"/>
    <mergeCell ref="L153:L154"/>
    <mergeCell ref="L155:L156"/>
    <mergeCell ref="M155:M156"/>
    <mergeCell ref="N155:N156"/>
    <mergeCell ref="L157:L158"/>
    <mergeCell ref="M157:M158"/>
    <mergeCell ref="N157:N158"/>
    <mergeCell ref="Q153:Q154"/>
    <mergeCell ref="R153:R154"/>
    <mergeCell ref="S153:S154"/>
    <mergeCell ref="T153:T154"/>
    <mergeCell ref="E159:E160"/>
    <mergeCell ref="E161:E162"/>
    <mergeCell ref="E163:E164"/>
    <mergeCell ref="E165:E166"/>
    <mergeCell ref="E167:E168"/>
    <mergeCell ref="E169:E170"/>
    <mergeCell ref="E171:E172"/>
    <mergeCell ref="E173:E174"/>
    <mergeCell ref="E175:E176"/>
    <mergeCell ref="E177:E178"/>
    <mergeCell ref="E179:E180"/>
    <mergeCell ref="E181:E182"/>
    <mergeCell ref="E183:E184"/>
    <mergeCell ref="E185:E186"/>
    <mergeCell ref="E187:E188"/>
    <mergeCell ref="F153:F154"/>
    <mergeCell ref="G153:G154"/>
    <mergeCell ref="F155:F156"/>
    <mergeCell ref="G155:G156"/>
    <mergeCell ref="F157:F158"/>
    <mergeCell ref="G157:G158"/>
    <mergeCell ref="F159:F160"/>
    <mergeCell ref="G159:G160"/>
    <mergeCell ref="F173:F174"/>
    <mergeCell ref="G173:G174"/>
    <mergeCell ref="F187:F188"/>
    <mergeCell ref="G187:G188"/>
    <mergeCell ref="H159:H160"/>
    <mergeCell ref="F161:F162"/>
    <mergeCell ref="G161:G162"/>
    <mergeCell ref="H161:H162"/>
    <mergeCell ref="F163:F164"/>
    <mergeCell ref="G163:G164"/>
    <mergeCell ref="H163:H164"/>
    <mergeCell ref="F165:F166"/>
    <mergeCell ref="G165:G166"/>
    <mergeCell ref="H165:H166"/>
    <mergeCell ref="F167:F168"/>
    <mergeCell ref="G167:G168"/>
    <mergeCell ref="H167:H168"/>
    <mergeCell ref="F169:F170"/>
    <mergeCell ref="G169:G170"/>
    <mergeCell ref="H169:H170"/>
    <mergeCell ref="F171:F172"/>
    <mergeCell ref="G171:G172"/>
    <mergeCell ref="H171:H172"/>
    <mergeCell ref="H173:H174"/>
    <mergeCell ref="F175:F176"/>
    <mergeCell ref="G175:G176"/>
    <mergeCell ref="H175:H176"/>
    <mergeCell ref="F177:F178"/>
    <mergeCell ref="G177:G178"/>
    <mergeCell ref="H177:H178"/>
    <mergeCell ref="F179:F180"/>
    <mergeCell ref="G179:G180"/>
    <mergeCell ref="H179:H180"/>
    <mergeCell ref="F181:F182"/>
    <mergeCell ref="G181:G182"/>
    <mergeCell ref="H181:H182"/>
    <mergeCell ref="F183:F184"/>
    <mergeCell ref="G183:G184"/>
    <mergeCell ref="H183:H184"/>
    <mergeCell ref="F185:F186"/>
    <mergeCell ref="G185:G186"/>
    <mergeCell ref="H185:H186"/>
    <mergeCell ref="M169:M170"/>
    <mergeCell ref="N169:N170"/>
    <mergeCell ref="L171:L172"/>
    <mergeCell ref="M171:M172"/>
    <mergeCell ref="N171:N172"/>
    <mergeCell ref="M173:M174"/>
    <mergeCell ref="N173:N174"/>
    <mergeCell ref="L175:L176"/>
    <mergeCell ref="M175:M176"/>
    <mergeCell ref="N175:N176"/>
    <mergeCell ref="L177:L178"/>
    <mergeCell ref="M177:M178"/>
    <mergeCell ref="N177:N178"/>
    <mergeCell ref="L179:L180"/>
    <mergeCell ref="M179:M180"/>
    <mergeCell ref="N179:N180"/>
    <mergeCell ref="L181:L182"/>
    <mergeCell ref="M181:M182"/>
    <mergeCell ref="N181:N182"/>
    <mergeCell ref="Q159:Q160"/>
    <mergeCell ref="R159:R160"/>
    <mergeCell ref="S159:S160"/>
    <mergeCell ref="T159:T160"/>
    <mergeCell ref="Q161:Q162"/>
    <mergeCell ref="R161:R162"/>
    <mergeCell ref="S161:S162"/>
    <mergeCell ref="T161:T162"/>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W153:W154"/>
    <mergeCell ref="X153:X154"/>
    <mergeCell ref="Y153:Y154"/>
    <mergeCell ref="Z153:Z154"/>
    <mergeCell ref="AA153:AA154"/>
    <mergeCell ref="W155:W156"/>
    <mergeCell ref="X155:X156"/>
    <mergeCell ref="Y155:Y156"/>
    <mergeCell ref="Z155:Z156"/>
    <mergeCell ref="AA155:AA156"/>
    <mergeCell ref="W157:W158"/>
    <mergeCell ref="X157:X158"/>
    <mergeCell ref="Y157:Y158"/>
    <mergeCell ref="Z157:Z158"/>
    <mergeCell ref="AA157:AA158"/>
    <mergeCell ref="W159:W160"/>
    <mergeCell ref="X159:X160"/>
    <mergeCell ref="Y159:Y160"/>
    <mergeCell ref="Z159:Z160"/>
    <mergeCell ref="AA159:AA160"/>
    <mergeCell ref="W161:W162"/>
    <mergeCell ref="X161:X162"/>
    <mergeCell ref="Y161:Y162"/>
    <mergeCell ref="Z161:Z162"/>
    <mergeCell ref="AA161:AA162"/>
    <mergeCell ref="W163:W164"/>
    <mergeCell ref="X163:X164"/>
    <mergeCell ref="Y163:Y164"/>
    <mergeCell ref="Z163:Z164"/>
    <mergeCell ref="AA163:AA164"/>
    <mergeCell ref="W165:W166"/>
    <mergeCell ref="X165:X166"/>
    <mergeCell ref="Y165:Y166"/>
    <mergeCell ref="Z165:Z166"/>
    <mergeCell ref="AA165:AA166"/>
    <mergeCell ref="W167:W168"/>
    <mergeCell ref="X167:X168"/>
    <mergeCell ref="Y167:Y168"/>
    <mergeCell ref="Z167:Z168"/>
    <mergeCell ref="AA167:AA168"/>
    <mergeCell ref="W169:W170"/>
    <mergeCell ref="X169:X170"/>
    <mergeCell ref="Y169:Y170"/>
    <mergeCell ref="Z169:Z170"/>
    <mergeCell ref="AA169:AA170"/>
    <mergeCell ref="W171:W172"/>
    <mergeCell ref="X171:X172"/>
    <mergeCell ref="Y171:Y172"/>
    <mergeCell ref="Z171:Z172"/>
    <mergeCell ref="AA171:AA172"/>
    <mergeCell ref="W173:W174"/>
    <mergeCell ref="X173:X174"/>
    <mergeCell ref="Y173:Y174"/>
    <mergeCell ref="Z173:Z174"/>
    <mergeCell ref="AA173:AA174"/>
    <mergeCell ref="W175:W176"/>
    <mergeCell ref="X175:X176"/>
    <mergeCell ref="Y175:Y176"/>
    <mergeCell ref="Z175:Z176"/>
    <mergeCell ref="AA175:AA176"/>
    <mergeCell ref="W179:W180"/>
    <mergeCell ref="X179:X180"/>
    <mergeCell ref="Y179:Y180"/>
    <mergeCell ref="Z179:Z180"/>
    <mergeCell ref="AA179:AA180"/>
    <mergeCell ref="W181:W182"/>
    <mergeCell ref="X181:X182"/>
    <mergeCell ref="Y181:Y182"/>
    <mergeCell ref="Z181:Z182"/>
    <mergeCell ref="AA181:AA182"/>
    <mergeCell ref="W183:W184"/>
    <mergeCell ref="X183:X184"/>
    <mergeCell ref="Y183:Y184"/>
    <mergeCell ref="Z183:Z184"/>
    <mergeCell ref="AA183:AA184"/>
    <mergeCell ref="W185:W186"/>
    <mergeCell ref="X185:X186"/>
    <mergeCell ref="Y185:Y186"/>
    <mergeCell ref="Z185:Z186"/>
    <mergeCell ref="AA185:AA186"/>
    <mergeCell ref="AC153:AC154"/>
    <mergeCell ref="AD153:AD154"/>
    <mergeCell ref="AE153:AE154"/>
    <mergeCell ref="AF153:AF154"/>
    <mergeCell ref="AG153:AG154"/>
    <mergeCell ref="AC155:AC156"/>
    <mergeCell ref="AD155:AD156"/>
    <mergeCell ref="AE155:AE156"/>
    <mergeCell ref="AF155:AF156"/>
    <mergeCell ref="AG155:AG156"/>
    <mergeCell ref="AC157:AC158"/>
    <mergeCell ref="AD157:AD158"/>
    <mergeCell ref="AE157:AE158"/>
    <mergeCell ref="AF157:AF158"/>
    <mergeCell ref="AG157:AG158"/>
    <mergeCell ref="AC159:AC160"/>
    <mergeCell ref="AD159:AD160"/>
    <mergeCell ref="AE159:AE160"/>
    <mergeCell ref="AF159:AF160"/>
    <mergeCell ref="AG159:AG160"/>
    <mergeCell ref="AC161:AC162"/>
    <mergeCell ref="AD161:AD162"/>
    <mergeCell ref="AE161:AE162"/>
    <mergeCell ref="AF161:AF162"/>
    <mergeCell ref="AG161:AG162"/>
    <mergeCell ref="AC163:AC164"/>
    <mergeCell ref="AD163:AD164"/>
    <mergeCell ref="AE163:AE164"/>
    <mergeCell ref="AF163:AF164"/>
    <mergeCell ref="AG163:AG164"/>
    <mergeCell ref="AC165:AC166"/>
    <mergeCell ref="AD165:AD166"/>
    <mergeCell ref="AE165:AE166"/>
    <mergeCell ref="AF165:AF166"/>
    <mergeCell ref="AG165:AG166"/>
    <mergeCell ref="AC167:AC168"/>
    <mergeCell ref="AD167:AD168"/>
    <mergeCell ref="AE167:AE168"/>
    <mergeCell ref="AF167:AF168"/>
    <mergeCell ref="AG167:AG168"/>
    <mergeCell ref="AC169:AC170"/>
    <mergeCell ref="AD169:AD170"/>
    <mergeCell ref="AE169:AE170"/>
    <mergeCell ref="AF169:AF170"/>
    <mergeCell ref="AG169:AG170"/>
    <mergeCell ref="AC171:AC172"/>
    <mergeCell ref="AD171:AD172"/>
    <mergeCell ref="AE171:AE172"/>
    <mergeCell ref="AF171:AF172"/>
    <mergeCell ref="AG171:AG172"/>
    <mergeCell ref="AC173:AC174"/>
    <mergeCell ref="AD173:AD174"/>
    <mergeCell ref="AE173:AE174"/>
    <mergeCell ref="AF173:AF174"/>
    <mergeCell ref="AG173:AG174"/>
    <mergeCell ref="AC175:AC176"/>
    <mergeCell ref="AD175:AD176"/>
    <mergeCell ref="AE175:AE176"/>
    <mergeCell ref="AF175:AF176"/>
    <mergeCell ref="AG175:AG176"/>
    <mergeCell ref="AE177:AE178"/>
    <mergeCell ref="AF177:AF178"/>
    <mergeCell ref="AG177:AG178"/>
    <mergeCell ref="AC179:AC180"/>
    <mergeCell ref="AD179:AD180"/>
    <mergeCell ref="AE179:AE180"/>
    <mergeCell ref="AF179:AF180"/>
    <mergeCell ref="AG179:AG180"/>
    <mergeCell ref="AC181:AC182"/>
    <mergeCell ref="AD181:AD182"/>
    <mergeCell ref="AE181:AE182"/>
    <mergeCell ref="AF181:AF182"/>
    <mergeCell ref="AG181:AG182"/>
    <mergeCell ref="AC183:AC184"/>
    <mergeCell ref="AD183:AD184"/>
    <mergeCell ref="AE183:AE184"/>
    <mergeCell ref="AF183:AF184"/>
    <mergeCell ref="AG183:AG184"/>
    <mergeCell ref="AC185:AC186"/>
    <mergeCell ref="AD185:AD186"/>
    <mergeCell ref="AE185:AE186"/>
    <mergeCell ref="AF185:AF186"/>
    <mergeCell ref="AG185:AG186"/>
    <mergeCell ref="AC187:AC188"/>
    <mergeCell ref="AD187:AD188"/>
    <mergeCell ref="AE187:AE188"/>
    <mergeCell ref="AF187:AF188"/>
    <mergeCell ref="AG187:AG188"/>
    <mergeCell ref="E190:E191"/>
    <mergeCell ref="F190:F191"/>
    <mergeCell ref="G190:G191"/>
    <mergeCell ref="H190:H191"/>
    <mergeCell ref="E192:E193"/>
    <mergeCell ref="F192:F193"/>
    <mergeCell ref="G192:G193"/>
    <mergeCell ref="H192:H193"/>
    <mergeCell ref="L190:L191"/>
    <mergeCell ref="M190:M191"/>
    <mergeCell ref="N190:N191"/>
    <mergeCell ref="K192:K193"/>
    <mergeCell ref="L192:L193"/>
    <mergeCell ref="M192:M193"/>
    <mergeCell ref="N192:N193"/>
    <mergeCell ref="Q190:Q191"/>
    <mergeCell ref="R190:R191"/>
    <mergeCell ref="S190:S191"/>
    <mergeCell ref="T190:T191"/>
    <mergeCell ref="Q192:Q193"/>
    <mergeCell ref="R192:R193"/>
    <mergeCell ref="S192:S193"/>
    <mergeCell ref="AC190:AC191"/>
    <mergeCell ref="AD190:AD191"/>
    <mergeCell ref="AE190:AE191"/>
    <mergeCell ref="AF190:AF191"/>
    <mergeCell ref="AC192:AC193"/>
    <mergeCell ref="AD192:AD193"/>
    <mergeCell ref="AE192:AE193"/>
    <mergeCell ref="AF192:AF193"/>
    <mergeCell ref="E200:E201"/>
    <mergeCell ref="E202:E203"/>
    <mergeCell ref="E204:E205"/>
    <mergeCell ref="E206:E207"/>
    <mergeCell ref="E208:E209"/>
    <mergeCell ref="E210:E211"/>
    <mergeCell ref="F196:F197"/>
    <mergeCell ref="G196:G197"/>
    <mergeCell ref="H196:H197"/>
    <mergeCell ref="F198:F199"/>
    <mergeCell ref="G198:G199"/>
    <mergeCell ref="H198:H199"/>
    <mergeCell ref="F200:F201"/>
    <mergeCell ref="G200:G201"/>
    <mergeCell ref="H200:H201"/>
    <mergeCell ref="F202:F203"/>
    <mergeCell ref="G202:G203"/>
    <mergeCell ref="H202:H203"/>
    <mergeCell ref="F204:F205"/>
    <mergeCell ref="G204:G205"/>
    <mergeCell ref="H204:H205"/>
    <mergeCell ref="F206:F207"/>
    <mergeCell ref="G206:G207"/>
    <mergeCell ref="H206:H207"/>
    <mergeCell ref="M198:M199"/>
    <mergeCell ref="N198:N199"/>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Q196:Q197"/>
    <mergeCell ref="R196:R197"/>
    <mergeCell ref="Q200:Q201"/>
    <mergeCell ref="R200:R201"/>
    <mergeCell ref="Q204:Q205"/>
    <mergeCell ref="R204:R205"/>
    <mergeCell ref="S196:S197"/>
    <mergeCell ref="T196:T197"/>
    <mergeCell ref="Q198:Q199"/>
    <mergeCell ref="R198:R199"/>
    <mergeCell ref="S198:S199"/>
    <mergeCell ref="T198:T199"/>
    <mergeCell ref="S200:S201"/>
    <mergeCell ref="T200:T201"/>
    <mergeCell ref="Q202:Q203"/>
    <mergeCell ref="R202:R203"/>
    <mergeCell ref="S202:S203"/>
    <mergeCell ref="T202:T203"/>
    <mergeCell ref="S204:S205"/>
    <mergeCell ref="T204:T205"/>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H213:H214"/>
    <mergeCell ref="E215:E216"/>
    <mergeCell ref="F215:F216"/>
    <mergeCell ref="G215:G216"/>
    <mergeCell ref="H215:H216"/>
    <mergeCell ref="E217:E218"/>
    <mergeCell ref="F217:F218"/>
    <mergeCell ref="G217:G218"/>
    <mergeCell ref="H217:H218"/>
    <mergeCell ref="M213:M214"/>
    <mergeCell ref="N213:N214"/>
    <mergeCell ref="K215:K216"/>
    <mergeCell ref="L215:L216"/>
    <mergeCell ref="M215:M216"/>
    <mergeCell ref="N215:N216"/>
    <mergeCell ref="K217:K218"/>
    <mergeCell ref="L217:L218"/>
    <mergeCell ref="M217:M218"/>
    <mergeCell ref="N217:N218"/>
    <mergeCell ref="Q213:Q214"/>
    <mergeCell ref="R213:R214"/>
    <mergeCell ref="Q217:Q218"/>
    <mergeCell ref="R217:R218"/>
    <mergeCell ref="K213:K214"/>
    <mergeCell ref="L213:L214"/>
    <mergeCell ref="S213:S214"/>
    <mergeCell ref="AF213:AF214"/>
    <mergeCell ref="AC215:AC216"/>
    <mergeCell ref="AD215:AD216"/>
    <mergeCell ref="AE215:AE216"/>
    <mergeCell ref="AF215:AF216"/>
    <mergeCell ref="AE217:AE218"/>
    <mergeCell ref="AF217:AF218"/>
    <mergeCell ref="E237:E238"/>
    <mergeCell ref="F237:F238"/>
    <mergeCell ref="G237:G238"/>
    <mergeCell ref="H237:H238"/>
    <mergeCell ref="M237:M238"/>
    <mergeCell ref="N237:N238"/>
    <mergeCell ref="O237:O238"/>
    <mergeCell ref="Q237:Q238"/>
    <mergeCell ref="K237:K238"/>
    <mergeCell ref="L237:L238"/>
    <mergeCell ref="R237:R238"/>
    <mergeCell ref="S237:S238"/>
    <mergeCell ref="T237:T238"/>
    <mergeCell ref="T213:T214"/>
    <mergeCell ref="Q215:Q216"/>
    <mergeCell ref="R215:R216"/>
    <mergeCell ref="S215:S216"/>
    <mergeCell ref="T215:T216"/>
    <mergeCell ref="S217:S218"/>
    <mergeCell ref="T217:T218"/>
    <mergeCell ref="W213:W214"/>
    <mergeCell ref="X213:X214"/>
    <mergeCell ref="Y213:Y214"/>
    <mergeCell ref="Z213:Z214"/>
    <mergeCell ref="W215:W216"/>
    <mergeCell ref="E249:E250"/>
    <mergeCell ref="F249:F250"/>
    <mergeCell ref="G249:G250"/>
    <mergeCell ref="H249:H250"/>
    <mergeCell ref="E251:E252"/>
    <mergeCell ref="F251:F252"/>
    <mergeCell ref="G251:G252"/>
    <mergeCell ref="H251:H252"/>
    <mergeCell ref="E253:E254"/>
    <mergeCell ref="F253:F254"/>
    <mergeCell ref="G253:G254"/>
    <mergeCell ref="H253:H254"/>
    <mergeCell ref="AC213:AC214"/>
    <mergeCell ref="AD213:AD214"/>
    <mergeCell ref="AC217:AC218"/>
    <mergeCell ref="AD217:AD218"/>
    <mergeCell ref="AE213:AE214"/>
    <mergeCell ref="X215:X216"/>
    <mergeCell ref="Y215:Y216"/>
    <mergeCell ref="Z215:Z216"/>
    <mergeCell ref="W217:W218"/>
    <mergeCell ref="X217:X218"/>
    <mergeCell ref="Y217:Y218"/>
    <mergeCell ref="Z217:Z218"/>
    <mergeCell ref="M239:M240"/>
    <mergeCell ref="J251:J252"/>
    <mergeCell ref="J253:J254"/>
    <mergeCell ref="M222:N222"/>
    <mergeCell ref="S222:T222"/>
    <mergeCell ref="Y222:Z222"/>
    <mergeCell ref="AE222:AF222"/>
    <mergeCell ref="J215:J216"/>
    <mergeCell ref="K245:K246"/>
    <mergeCell ref="L245:L246"/>
    <mergeCell ref="M245:M246"/>
    <mergeCell ref="N245:N246"/>
    <mergeCell ref="O245:O246"/>
    <mergeCell ref="K247:K248"/>
    <mergeCell ref="L247:L248"/>
    <mergeCell ref="M247:M248"/>
    <mergeCell ref="N247:N248"/>
    <mergeCell ref="O247:O248"/>
    <mergeCell ref="E245:E246"/>
    <mergeCell ref="F245:F246"/>
    <mergeCell ref="G245:G246"/>
    <mergeCell ref="H245:H246"/>
    <mergeCell ref="E247:E248"/>
    <mergeCell ref="F247:F248"/>
    <mergeCell ref="G247:G248"/>
    <mergeCell ref="H247:H248"/>
    <mergeCell ref="K249:K250"/>
    <mergeCell ref="L249:L250"/>
    <mergeCell ref="M249:M250"/>
    <mergeCell ref="N249:N250"/>
    <mergeCell ref="O249:O250"/>
    <mergeCell ref="K251:K252"/>
    <mergeCell ref="L251:L252"/>
    <mergeCell ref="M251:M252"/>
    <mergeCell ref="N251:N252"/>
    <mergeCell ref="O251:O252"/>
    <mergeCell ref="K253:K254"/>
    <mergeCell ref="L253:L254"/>
    <mergeCell ref="M253:M254"/>
    <mergeCell ref="N253:N254"/>
    <mergeCell ref="O253:O254"/>
    <mergeCell ref="Q239:Q240"/>
    <mergeCell ref="Q241:Q242"/>
    <mergeCell ref="Q243:Q244"/>
    <mergeCell ref="Q245:Q246"/>
    <mergeCell ref="Q247:Q248"/>
    <mergeCell ref="Q249:Q250"/>
    <mergeCell ref="Q251:Q252"/>
    <mergeCell ref="Q253:Q254"/>
    <mergeCell ref="K239:K240"/>
    <mergeCell ref="L239:L240"/>
    <mergeCell ref="K241:K242"/>
    <mergeCell ref="L241:L242"/>
    <mergeCell ref="K243:K244"/>
    <mergeCell ref="L243:L244"/>
    <mergeCell ref="M243:M244"/>
    <mergeCell ref="N243:N244"/>
    <mergeCell ref="O243:O244"/>
    <mergeCell ref="W247:W248"/>
    <mergeCell ref="X247:X248"/>
    <mergeCell ref="Y247:Y248"/>
    <mergeCell ref="Z247:Z248"/>
    <mergeCell ref="W249:W250"/>
    <mergeCell ref="X249:X250"/>
    <mergeCell ref="Y249:Y250"/>
    <mergeCell ref="Z249:Z250"/>
    <mergeCell ref="W251:W252"/>
    <mergeCell ref="X251:X252"/>
    <mergeCell ref="R239:R240"/>
    <mergeCell ref="S239:S240"/>
    <mergeCell ref="T239:T240"/>
    <mergeCell ref="R241:R242"/>
    <mergeCell ref="S241:S242"/>
    <mergeCell ref="T241:T242"/>
    <mergeCell ref="R243:R244"/>
    <mergeCell ref="S243:S244"/>
    <mergeCell ref="T243:T244"/>
    <mergeCell ref="R245:R246"/>
    <mergeCell ref="S245:S246"/>
    <mergeCell ref="T245:T246"/>
    <mergeCell ref="R247:R248"/>
    <mergeCell ref="S247:S248"/>
    <mergeCell ref="T247:T248"/>
    <mergeCell ref="R249:R250"/>
    <mergeCell ref="S249:S250"/>
    <mergeCell ref="T249:T250"/>
    <mergeCell ref="AE251:AE252"/>
    <mergeCell ref="AF251:AF252"/>
    <mergeCell ref="AC245:AC246"/>
    <mergeCell ref="AD245:AD246"/>
    <mergeCell ref="AE245:AE246"/>
    <mergeCell ref="AF245:AF246"/>
    <mergeCell ref="AC247:AC248"/>
    <mergeCell ref="AD247:AD248"/>
    <mergeCell ref="AE247:AE248"/>
    <mergeCell ref="AF247:AF248"/>
    <mergeCell ref="R251:R252"/>
    <mergeCell ref="S251:S252"/>
    <mergeCell ref="T251:T252"/>
    <mergeCell ref="R253:R254"/>
    <mergeCell ref="S253:S254"/>
    <mergeCell ref="T253:T254"/>
    <mergeCell ref="W237:W238"/>
    <mergeCell ref="X237:X238"/>
    <mergeCell ref="Y237:Y238"/>
    <mergeCell ref="Z237:Z238"/>
    <mergeCell ref="W239:W240"/>
    <mergeCell ref="X239:X240"/>
    <mergeCell ref="Y239:Y240"/>
    <mergeCell ref="Z239:Z240"/>
    <mergeCell ref="W243:W244"/>
    <mergeCell ref="X243:X244"/>
    <mergeCell ref="Y243:Y244"/>
    <mergeCell ref="Z243:Z244"/>
    <mergeCell ref="W245:W246"/>
    <mergeCell ref="X245:X246"/>
    <mergeCell ref="Y245:Y246"/>
    <mergeCell ref="Z245:Z246"/>
    <mergeCell ref="AC253:AC254"/>
    <mergeCell ref="AD253:AD254"/>
    <mergeCell ref="AE253:AE254"/>
    <mergeCell ref="AF253:AF254"/>
    <mergeCell ref="AC249:AC250"/>
    <mergeCell ref="AD249:AD250"/>
    <mergeCell ref="AE249:AE250"/>
    <mergeCell ref="AF249:AF250"/>
    <mergeCell ref="AC251:AC252"/>
    <mergeCell ref="AD251:AD252"/>
    <mergeCell ref="Y251:Y252"/>
    <mergeCell ref="Z251:Z252"/>
    <mergeCell ref="W253:W254"/>
    <mergeCell ref="X253:X254"/>
    <mergeCell ref="Y253:Y254"/>
    <mergeCell ref="Z253:Z254"/>
    <mergeCell ref="AC237:AC238"/>
    <mergeCell ref="AD237:AD238"/>
    <mergeCell ref="AE237:AE238"/>
    <mergeCell ref="AF237:AF238"/>
    <mergeCell ref="AC239:AC240"/>
    <mergeCell ref="AD239:AD240"/>
    <mergeCell ref="AE239:AE240"/>
    <mergeCell ref="AF239:AF240"/>
    <mergeCell ref="AC241:AC242"/>
    <mergeCell ref="AD241:AD242"/>
    <mergeCell ref="AE241:AE242"/>
    <mergeCell ref="AF241:AF242"/>
    <mergeCell ref="AC243:AC244"/>
    <mergeCell ref="AD243:AD244"/>
    <mergeCell ref="AE243:AE244"/>
    <mergeCell ref="AF243:AF244"/>
  </mergeCells>
  <phoneticPr fontId="21" type="noConversion"/>
  <pageMargins left="0.74803149606299213" right="0.74803149606299213" top="0.98425196850393704" bottom="0.98425196850393704" header="0.51181102362204722" footer="0.51181102362204722"/>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31F4-14CA-47E1-A7B9-7872A8F6250F}">
  <dimension ref="A1:AH259"/>
  <sheetViews>
    <sheetView zoomScale="90" zoomScaleNormal="90" workbookViewId="0">
      <pane xSplit="3" ySplit="14" topLeftCell="D57" activePane="bottomRight" state="frozen"/>
      <selection pane="topRight" activeCell="K1" sqref="K1"/>
      <selection pane="bottomLeft" activeCell="A15" sqref="A15"/>
      <selection pane="bottomRight" activeCell="A8" sqref="A8:AB8"/>
    </sheetView>
  </sheetViews>
  <sheetFormatPr defaultColWidth="9.109375" defaultRowHeight="10.199999999999999" x14ac:dyDescent="0.2"/>
  <cols>
    <col min="1" max="1" width="5.44140625" style="11" customWidth="1"/>
    <col min="2" max="2" width="16.88671875" style="31" customWidth="1"/>
    <col min="3" max="3" width="6.44140625" style="11" customWidth="1"/>
    <col min="4" max="4" width="4.77734375" style="11" customWidth="1"/>
    <col min="5" max="5" width="5.44140625" style="11" customWidth="1"/>
    <col min="6" max="6" width="5.5546875" style="11" customWidth="1"/>
    <col min="7" max="7" width="5.6640625" style="11" customWidth="1"/>
    <col min="8" max="8" width="5.44140625" style="11" customWidth="1"/>
    <col min="9" max="9" width="6.88671875" style="11" hidden="1" customWidth="1"/>
    <col min="10" max="10" width="5.6640625" style="11" customWidth="1"/>
    <col min="11" max="11" width="6" style="11" customWidth="1"/>
    <col min="12" max="12" width="6.6640625" style="11" customWidth="1"/>
    <col min="13" max="13" width="7.6640625" style="11" customWidth="1"/>
    <col min="14" max="14" width="6.5546875" style="11" customWidth="1"/>
    <col min="15" max="15" width="1.88671875" style="11" hidden="1" customWidth="1"/>
    <col min="16" max="16" width="6.5546875" style="11" customWidth="1"/>
    <col min="17" max="17" width="6" style="11" customWidth="1"/>
    <col min="18" max="18" width="6.109375" style="11" customWidth="1"/>
    <col min="19" max="19" width="5.44140625" style="11" customWidth="1"/>
    <col min="20" max="20" width="5.21875" style="11" customWidth="1"/>
    <col min="21" max="21" width="0.33203125" style="11" hidden="1" customWidth="1"/>
    <col min="22" max="22" width="6.88671875" style="11" customWidth="1"/>
    <col min="23" max="23" width="6.21875" style="11" customWidth="1"/>
    <col min="24" max="24" width="5.6640625" style="11" customWidth="1"/>
    <col min="25" max="25" width="5.77734375" style="11" customWidth="1"/>
    <col min="26" max="26" width="5.33203125" style="11" customWidth="1"/>
    <col min="27" max="27" width="4.77734375" style="11" hidden="1" customWidth="1"/>
    <col min="28" max="28" width="6.77734375" style="11" customWidth="1"/>
    <col min="29" max="29" width="5.6640625" style="11" customWidth="1"/>
    <col min="30" max="30" width="6.21875" style="11" customWidth="1"/>
    <col min="31" max="31" width="6.33203125" style="11" customWidth="1"/>
    <col min="32" max="32" width="5.77734375" style="11" customWidth="1"/>
    <col min="33" max="33" width="0.44140625" style="11" hidden="1" customWidth="1"/>
    <col min="34" max="34" width="7" style="11" customWidth="1"/>
    <col min="35" max="16384" width="9.109375" style="11"/>
  </cols>
  <sheetData>
    <row r="1" spans="1:34" x14ac:dyDescent="0.2">
      <c r="A1" s="9"/>
      <c r="B1" s="10"/>
      <c r="C1" s="9"/>
      <c r="D1" s="9"/>
    </row>
    <row r="2" spans="1:34" x14ac:dyDescent="0.2">
      <c r="A2" s="94" t="s">
        <v>51</v>
      </c>
      <c r="B2" s="95"/>
      <c r="C2" s="94"/>
      <c r="D2" s="96"/>
    </row>
    <row r="3" spans="1:34" x14ac:dyDescent="0.2">
      <c r="A3" s="297" t="s">
        <v>50</v>
      </c>
      <c r="B3" s="297"/>
      <c r="C3" s="297"/>
      <c r="D3" s="269"/>
      <c r="E3" s="269"/>
      <c r="F3" s="269"/>
      <c r="G3" s="269"/>
      <c r="H3" s="269"/>
      <c r="I3" s="269"/>
      <c r="J3" s="269"/>
      <c r="K3" s="269"/>
      <c r="L3" s="269"/>
      <c r="M3" s="269"/>
      <c r="N3" s="269"/>
      <c r="O3" s="269"/>
      <c r="P3" s="269"/>
    </row>
    <row r="4" spans="1:34" x14ac:dyDescent="0.2">
      <c r="A4" s="297" t="s">
        <v>53</v>
      </c>
      <c r="B4" s="297"/>
      <c r="C4" s="297"/>
      <c r="D4" s="12"/>
    </row>
    <row r="5" spans="1:34" x14ac:dyDescent="0.2">
      <c r="A5" s="271" t="s">
        <v>148</v>
      </c>
      <c r="B5" s="269"/>
      <c r="C5" s="14"/>
      <c r="D5" s="14"/>
      <c r="Q5" s="11" t="s">
        <v>74</v>
      </c>
      <c r="R5" s="15"/>
      <c r="W5" s="11" t="s">
        <v>74</v>
      </c>
      <c r="Y5" s="278"/>
      <c r="AC5" s="11" t="s">
        <v>74</v>
      </c>
    </row>
    <row r="6" spans="1:34" x14ac:dyDescent="0.2">
      <c r="A6" s="271" t="s">
        <v>154</v>
      </c>
      <c r="B6" s="269"/>
      <c r="C6" s="9"/>
      <c r="D6" s="9"/>
      <c r="I6" s="16"/>
      <c r="J6" s="16"/>
      <c r="O6" s="16"/>
      <c r="U6" s="16"/>
      <c r="V6" s="16"/>
      <c r="Y6" s="278"/>
      <c r="AA6" s="16"/>
      <c r="AB6" s="16"/>
      <c r="AG6" s="16"/>
      <c r="AH6" s="16"/>
    </row>
    <row r="7" spans="1:34" x14ac:dyDescent="0.2">
      <c r="A7" s="268"/>
      <c r="B7" s="268"/>
      <c r="C7" s="268"/>
      <c r="D7" s="269"/>
      <c r="E7" s="269"/>
      <c r="F7" s="269"/>
      <c r="G7" s="269"/>
      <c r="H7" s="269"/>
      <c r="I7" s="269"/>
      <c r="J7" s="269"/>
      <c r="K7" s="269"/>
      <c r="L7" s="269"/>
      <c r="M7" s="269"/>
      <c r="N7" s="269"/>
    </row>
    <row r="8" spans="1:34" x14ac:dyDescent="0.2">
      <c r="A8" s="359" t="s">
        <v>157</v>
      </c>
      <c r="B8" s="359"/>
      <c r="C8" s="359"/>
      <c r="D8" s="360"/>
      <c r="E8" s="360"/>
      <c r="F8" s="360"/>
      <c r="G8" s="360"/>
      <c r="H8" s="360"/>
      <c r="I8" s="360"/>
      <c r="J8" s="360"/>
      <c r="K8" s="360"/>
      <c r="L8" s="360"/>
      <c r="M8" s="360"/>
      <c r="N8" s="360"/>
      <c r="O8" s="360"/>
      <c r="P8" s="360"/>
      <c r="Q8" s="360"/>
      <c r="R8" s="360"/>
      <c r="S8" s="360"/>
      <c r="T8" s="360"/>
      <c r="U8" s="360"/>
      <c r="V8" s="360"/>
      <c r="W8" s="360"/>
      <c r="X8" s="360"/>
      <c r="Y8" s="360"/>
      <c r="Z8" s="360"/>
      <c r="AA8" s="360"/>
      <c r="AB8" s="360"/>
    </row>
    <row r="9" spans="1:34" ht="10.8" thickBot="1" x14ac:dyDescent="0.25">
      <c r="A9" s="9"/>
      <c r="B9" s="10"/>
      <c r="C9" s="9"/>
      <c r="D9" s="9"/>
    </row>
    <row r="10" spans="1:34" ht="10.8" thickBot="1" x14ac:dyDescent="0.25">
      <c r="A10" s="97"/>
      <c r="B10" s="389" t="s">
        <v>38</v>
      </c>
      <c r="C10" s="374"/>
      <c r="D10" s="98" t="s">
        <v>117</v>
      </c>
      <c r="E10" s="374">
        <v>2026</v>
      </c>
      <c r="F10" s="374"/>
      <c r="G10" s="374"/>
      <c r="H10" s="374"/>
      <c r="I10" s="354"/>
      <c r="J10" s="99"/>
      <c r="K10" s="374">
        <v>2027</v>
      </c>
      <c r="L10" s="374"/>
      <c r="M10" s="374"/>
      <c r="N10" s="374"/>
      <c r="O10" s="354"/>
      <c r="P10" s="354"/>
      <c r="Q10" s="374">
        <v>2028</v>
      </c>
      <c r="R10" s="374"/>
      <c r="S10" s="374"/>
      <c r="T10" s="374"/>
      <c r="U10" s="354"/>
      <c r="V10" s="354"/>
      <c r="W10" s="374">
        <v>2029</v>
      </c>
      <c r="X10" s="374"/>
      <c r="Y10" s="374"/>
      <c r="Z10" s="374"/>
      <c r="AA10" s="354"/>
      <c r="AB10" s="99"/>
      <c r="AC10" s="374">
        <v>2030</v>
      </c>
      <c r="AD10" s="374"/>
      <c r="AE10" s="374"/>
      <c r="AF10" s="374"/>
      <c r="AG10" s="354"/>
      <c r="AH10" s="99"/>
    </row>
    <row r="11" spans="1:34" ht="10.8" thickBot="1" x14ac:dyDescent="0.25">
      <c r="A11" s="97"/>
      <c r="B11" s="389"/>
      <c r="C11" s="374"/>
      <c r="D11" s="100"/>
      <c r="E11" s="374" t="s">
        <v>93</v>
      </c>
      <c r="F11" s="374"/>
      <c r="G11" s="354"/>
      <c r="H11" s="354"/>
      <c r="I11" s="354"/>
      <c r="J11" s="354"/>
      <c r="K11" s="374" t="s">
        <v>93</v>
      </c>
      <c r="L11" s="374"/>
      <c r="M11" s="354"/>
      <c r="N11" s="354"/>
      <c r="O11" s="354"/>
      <c r="P11" s="99"/>
      <c r="Q11" s="374" t="s">
        <v>93</v>
      </c>
      <c r="R11" s="374"/>
      <c r="S11" s="354"/>
      <c r="T11" s="354"/>
      <c r="U11" s="354"/>
      <c r="V11" s="99"/>
      <c r="W11" s="374" t="s">
        <v>93</v>
      </c>
      <c r="X11" s="374"/>
      <c r="Y11" s="354"/>
      <c r="Z11" s="354"/>
      <c r="AA11" s="354"/>
      <c r="AB11" s="99"/>
      <c r="AC11" s="374" t="s">
        <v>93</v>
      </c>
      <c r="AD11" s="374"/>
      <c r="AE11" s="354"/>
      <c r="AF11" s="354"/>
      <c r="AG11" s="354"/>
      <c r="AH11" s="99"/>
    </row>
    <row r="12" spans="1:34" ht="10.8" thickBot="1" x14ac:dyDescent="0.25">
      <c r="A12" s="97"/>
      <c r="B12" s="389"/>
      <c r="C12" s="374"/>
      <c r="D12" s="100"/>
      <c r="E12" s="101" t="s">
        <v>1</v>
      </c>
      <c r="F12" s="101" t="s">
        <v>2</v>
      </c>
      <c r="G12" s="101" t="s">
        <v>3</v>
      </c>
      <c r="H12" s="101" t="s">
        <v>4</v>
      </c>
      <c r="I12" s="102" t="s">
        <v>5</v>
      </c>
      <c r="J12" s="102" t="s">
        <v>112</v>
      </c>
      <c r="K12" s="101" t="s">
        <v>1</v>
      </c>
      <c r="L12" s="101" t="s">
        <v>2</v>
      </c>
      <c r="M12" s="101" t="s">
        <v>3</v>
      </c>
      <c r="N12" s="101" t="s">
        <v>4</v>
      </c>
      <c r="O12" s="102" t="s">
        <v>5</v>
      </c>
      <c r="P12" s="102" t="s">
        <v>119</v>
      </c>
      <c r="Q12" s="101" t="s">
        <v>1</v>
      </c>
      <c r="R12" s="101" t="s">
        <v>2</v>
      </c>
      <c r="S12" s="101" t="s">
        <v>3</v>
      </c>
      <c r="T12" s="101" t="s">
        <v>4</v>
      </c>
      <c r="U12" s="102" t="s">
        <v>5</v>
      </c>
      <c r="V12" s="102" t="s">
        <v>121</v>
      </c>
      <c r="W12" s="101" t="s">
        <v>1</v>
      </c>
      <c r="X12" s="101" t="s">
        <v>2</v>
      </c>
      <c r="Y12" s="101" t="s">
        <v>3</v>
      </c>
      <c r="Z12" s="101" t="s">
        <v>4</v>
      </c>
      <c r="AA12" s="102" t="s">
        <v>5</v>
      </c>
      <c r="AB12" s="102" t="s">
        <v>122</v>
      </c>
      <c r="AC12" s="101" t="s">
        <v>1</v>
      </c>
      <c r="AD12" s="101" t="s">
        <v>2</v>
      </c>
      <c r="AE12" s="101" t="s">
        <v>3</v>
      </c>
      <c r="AF12" s="101" t="s">
        <v>4</v>
      </c>
      <c r="AG12" s="102" t="s">
        <v>5</v>
      </c>
      <c r="AH12" s="102" t="s">
        <v>123</v>
      </c>
    </row>
    <row r="13" spans="1:34" ht="10.8" thickBot="1" x14ac:dyDescent="0.25">
      <c r="A13" s="103">
        <v>0</v>
      </c>
      <c r="B13" s="98">
        <v>1</v>
      </c>
      <c r="C13" s="104">
        <v>2</v>
      </c>
      <c r="D13" s="104">
        <v>3</v>
      </c>
      <c r="E13" s="104" t="s">
        <v>113</v>
      </c>
      <c r="F13" s="104" t="s">
        <v>114</v>
      </c>
      <c r="G13" s="104" t="s">
        <v>115</v>
      </c>
      <c r="H13" s="104" t="s">
        <v>116</v>
      </c>
      <c r="I13" s="104"/>
      <c r="J13" s="104"/>
      <c r="K13" s="104" t="s">
        <v>113</v>
      </c>
      <c r="L13" s="104" t="s">
        <v>114</v>
      </c>
      <c r="M13" s="104" t="s">
        <v>115</v>
      </c>
      <c r="N13" s="104" t="s">
        <v>116</v>
      </c>
      <c r="O13" s="104"/>
      <c r="P13" s="104"/>
      <c r="Q13" s="104" t="s">
        <v>113</v>
      </c>
      <c r="R13" s="104" t="s">
        <v>114</v>
      </c>
      <c r="S13" s="104" t="s">
        <v>115</v>
      </c>
      <c r="T13" s="104" t="s">
        <v>116</v>
      </c>
      <c r="U13" s="104"/>
      <c r="V13" s="104"/>
      <c r="W13" s="104" t="s">
        <v>113</v>
      </c>
      <c r="X13" s="104" t="s">
        <v>114</v>
      </c>
      <c r="Y13" s="104" t="s">
        <v>115</v>
      </c>
      <c r="Z13" s="104" t="s">
        <v>116</v>
      </c>
      <c r="AA13" s="104"/>
      <c r="AB13" s="104"/>
      <c r="AC13" s="104" t="s">
        <v>113</v>
      </c>
      <c r="AD13" s="104" t="s">
        <v>114</v>
      </c>
      <c r="AE13" s="104" t="s">
        <v>115</v>
      </c>
      <c r="AF13" s="104" t="s">
        <v>116</v>
      </c>
      <c r="AG13" s="104"/>
      <c r="AH13" s="104"/>
    </row>
    <row r="14" spans="1:34" ht="10.8" thickBot="1" x14ac:dyDescent="0.25">
      <c r="A14" s="97">
        <v>1.1000000000000001</v>
      </c>
      <c r="B14" s="365" t="s">
        <v>105</v>
      </c>
      <c r="C14" s="366"/>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7"/>
    </row>
    <row r="15" spans="1:34" ht="15.75" customHeight="1" thickBot="1" x14ac:dyDescent="0.25">
      <c r="A15" s="400"/>
      <c r="B15" s="376" t="s">
        <v>92</v>
      </c>
      <c r="C15" s="357" t="s">
        <v>6</v>
      </c>
      <c r="D15" s="354"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400"/>
      <c r="B16" s="376"/>
      <c r="C16" s="357"/>
      <c r="D16" s="354"/>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400"/>
      <c r="B17" s="376"/>
      <c r="C17" s="357" t="s">
        <v>7</v>
      </c>
      <c r="D17" s="354"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400"/>
      <c r="B18" s="376"/>
      <c r="C18" s="357"/>
      <c r="D18" s="354"/>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400"/>
      <c r="B19" s="376"/>
      <c r="C19" s="357" t="s">
        <v>8</v>
      </c>
      <c r="D19" s="354"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400"/>
      <c r="B20" s="376"/>
      <c r="C20" s="357"/>
      <c r="D20" s="354"/>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400"/>
      <c r="B21" s="376" t="s">
        <v>80</v>
      </c>
      <c r="C21" s="357" t="s">
        <v>6</v>
      </c>
      <c r="D21" s="354"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400"/>
      <c r="B22" s="376"/>
      <c r="C22" s="357"/>
      <c r="D22" s="354"/>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400"/>
      <c r="B23" s="376"/>
      <c r="C23" s="357" t="s">
        <v>7</v>
      </c>
      <c r="D23" s="354"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400"/>
      <c r="B24" s="376"/>
      <c r="C24" s="357"/>
      <c r="D24" s="354"/>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400"/>
      <c r="B25" s="376"/>
      <c r="C25" s="357" t="s">
        <v>8</v>
      </c>
      <c r="D25" s="354"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400"/>
      <c r="B26" s="376"/>
      <c r="C26" s="357"/>
      <c r="D26" s="354"/>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400"/>
      <c r="B27" s="376" t="s">
        <v>81</v>
      </c>
      <c r="C27" s="357" t="s">
        <v>6</v>
      </c>
      <c r="D27" s="354"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400"/>
      <c r="B28" s="376"/>
      <c r="C28" s="357"/>
      <c r="D28" s="354"/>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400"/>
      <c r="B29" s="376"/>
      <c r="C29" s="357" t="s">
        <v>7</v>
      </c>
      <c r="D29" s="354"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400"/>
      <c r="B30" s="376"/>
      <c r="C30" s="357"/>
      <c r="D30" s="354"/>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400"/>
      <c r="B31" s="376"/>
      <c r="C31" s="357" t="s">
        <v>8</v>
      </c>
      <c r="D31" s="354"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400"/>
      <c r="B32" s="376"/>
      <c r="C32" s="357"/>
      <c r="D32" s="354"/>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400"/>
      <c r="B33" s="390" t="s">
        <v>79</v>
      </c>
      <c r="C33" s="357" t="s">
        <v>9</v>
      </c>
      <c r="D33" s="354"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400"/>
      <c r="B34" s="390"/>
      <c r="C34" s="357"/>
      <c r="D34" s="354"/>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400"/>
      <c r="B35" s="390"/>
      <c r="C35" s="357" t="s">
        <v>10</v>
      </c>
      <c r="D35" s="354"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400"/>
      <c r="B36" s="390"/>
      <c r="C36" s="357"/>
      <c r="D36" s="354"/>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400"/>
      <c r="B37" s="390"/>
      <c r="C37" s="357" t="s">
        <v>11</v>
      </c>
      <c r="D37" s="354"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400"/>
      <c r="B38" s="390"/>
      <c r="C38" s="357"/>
      <c r="D38" s="354"/>
      <c r="E38" s="260"/>
      <c r="F38" s="260"/>
      <c r="G38" s="260"/>
      <c r="H38" s="260"/>
      <c r="I38" s="373"/>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ht="10.8" thickBot="1" x14ac:dyDescent="0.25">
      <c r="A39" s="105">
        <v>1.2</v>
      </c>
      <c r="B39" s="375" t="s">
        <v>12</v>
      </c>
      <c r="C39" s="375"/>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row>
    <row r="40" spans="1:34" ht="10.8" thickBot="1" x14ac:dyDescent="0.25">
      <c r="A40" s="379"/>
      <c r="B40" s="376" t="s">
        <v>39</v>
      </c>
      <c r="C40" s="376" t="s">
        <v>6</v>
      </c>
      <c r="D40" s="354" t="s">
        <v>78</v>
      </c>
      <c r="E40" s="351">
        <v>1</v>
      </c>
      <c r="F40" s="351">
        <v>1</v>
      </c>
      <c r="G40" s="351">
        <v>1</v>
      </c>
      <c r="H40" s="351">
        <v>1</v>
      </c>
      <c r="I40" s="354"/>
      <c r="J40" s="351">
        <v>1</v>
      </c>
      <c r="K40" s="351">
        <v>1</v>
      </c>
      <c r="L40" s="351">
        <v>1</v>
      </c>
      <c r="M40" s="351">
        <v>1</v>
      </c>
      <c r="N40" s="351">
        <v>1</v>
      </c>
      <c r="O40" s="99"/>
      <c r="P40" s="351">
        <v>1</v>
      </c>
      <c r="Q40" s="351">
        <v>1</v>
      </c>
      <c r="R40" s="351">
        <v>1</v>
      </c>
      <c r="S40" s="351">
        <v>1</v>
      </c>
      <c r="T40" s="351">
        <v>1</v>
      </c>
      <c r="U40" s="99"/>
      <c r="V40" s="351">
        <v>1</v>
      </c>
      <c r="W40" s="351">
        <v>1</v>
      </c>
      <c r="X40" s="351">
        <v>1</v>
      </c>
      <c r="Y40" s="351">
        <v>1</v>
      </c>
      <c r="Z40" s="351">
        <v>1</v>
      </c>
      <c r="AA40" s="99"/>
      <c r="AB40" s="351">
        <v>1</v>
      </c>
      <c r="AC40" s="351">
        <v>1</v>
      </c>
      <c r="AD40" s="351">
        <v>1</v>
      </c>
      <c r="AE40" s="351">
        <v>1</v>
      </c>
      <c r="AF40" s="351">
        <v>1</v>
      </c>
      <c r="AG40" s="99"/>
      <c r="AH40" s="351">
        <v>1</v>
      </c>
    </row>
    <row r="41" spans="1:34" ht="10.8" thickBot="1" x14ac:dyDescent="0.25">
      <c r="A41" s="380"/>
      <c r="B41" s="376"/>
      <c r="C41" s="376"/>
      <c r="D41" s="354"/>
      <c r="E41" s="351"/>
      <c r="F41" s="351"/>
      <c r="G41" s="351"/>
      <c r="H41" s="351"/>
      <c r="I41" s="354"/>
      <c r="J41" s="351"/>
      <c r="K41" s="351"/>
      <c r="L41" s="351"/>
      <c r="M41" s="351"/>
      <c r="N41" s="351"/>
      <c r="O41" s="99"/>
      <c r="P41" s="351"/>
      <c r="Q41" s="351"/>
      <c r="R41" s="351"/>
      <c r="S41" s="351"/>
      <c r="T41" s="351"/>
      <c r="U41" s="99"/>
      <c r="V41" s="351"/>
      <c r="W41" s="351"/>
      <c r="X41" s="351"/>
      <c r="Y41" s="351"/>
      <c r="Z41" s="351"/>
      <c r="AA41" s="99"/>
      <c r="AB41" s="351"/>
      <c r="AC41" s="351"/>
      <c r="AD41" s="351"/>
      <c r="AE41" s="351"/>
      <c r="AF41" s="351"/>
      <c r="AG41" s="99"/>
      <c r="AH41" s="351"/>
    </row>
    <row r="42" spans="1:34" ht="10.8" thickBot="1" x14ac:dyDescent="0.25">
      <c r="A42" s="380"/>
      <c r="B42" s="376"/>
      <c r="C42" s="376" t="s">
        <v>7</v>
      </c>
      <c r="D42" s="354" t="s">
        <v>78</v>
      </c>
      <c r="E42" s="351">
        <v>1</v>
      </c>
      <c r="F42" s="351">
        <v>1</v>
      </c>
      <c r="G42" s="351">
        <v>1</v>
      </c>
      <c r="H42" s="351">
        <v>1</v>
      </c>
      <c r="I42" s="354"/>
      <c r="J42" s="351">
        <v>1</v>
      </c>
      <c r="K42" s="351">
        <v>1</v>
      </c>
      <c r="L42" s="351">
        <v>1</v>
      </c>
      <c r="M42" s="351">
        <v>1</v>
      </c>
      <c r="N42" s="351">
        <v>1</v>
      </c>
      <c r="O42" s="99"/>
      <c r="P42" s="351">
        <v>1</v>
      </c>
      <c r="Q42" s="351">
        <v>1</v>
      </c>
      <c r="R42" s="351">
        <v>1</v>
      </c>
      <c r="S42" s="351">
        <v>1</v>
      </c>
      <c r="T42" s="351">
        <v>1</v>
      </c>
      <c r="U42" s="99"/>
      <c r="V42" s="351">
        <v>1</v>
      </c>
      <c r="W42" s="351">
        <v>1</v>
      </c>
      <c r="X42" s="351">
        <v>1</v>
      </c>
      <c r="Y42" s="351">
        <v>1</v>
      </c>
      <c r="Z42" s="351">
        <v>1</v>
      </c>
      <c r="AA42" s="99"/>
      <c r="AB42" s="351">
        <v>1</v>
      </c>
      <c r="AC42" s="351">
        <v>1</v>
      </c>
      <c r="AD42" s="351">
        <v>1</v>
      </c>
      <c r="AE42" s="351">
        <v>1</v>
      </c>
      <c r="AF42" s="351">
        <v>1</v>
      </c>
      <c r="AG42" s="99"/>
      <c r="AH42" s="351">
        <v>1</v>
      </c>
    </row>
    <row r="43" spans="1:34" ht="10.8" thickBot="1" x14ac:dyDescent="0.25">
      <c r="A43" s="380"/>
      <c r="B43" s="376"/>
      <c r="C43" s="376"/>
      <c r="D43" s="354"/>
      <c r="E43" s="351"/>
      <c r="F43" s="351"/>
      <c r="G43" s="351"/>
      <c r="H43" s="351"/>
      <c r="I43" s="354"/>
      <c r="J43" s="351"/>
      <c r="K43" s="351"/>
      <c r="L43" s="351"/>
      <c r="M43" s="351"/>
      <c r="N43" s="351"/>
      <c r="O43" s="99"/>
      <c r="P43" s="351"/>
      <c r="Q43" s="351"/>
      <c r="R43" s="351"/>
      <c r="S43" s="351"/>
      <c r="T43" s="351"/>
      <c r="U43" s="99"/>
      <c r="V43" s="351"/>
      <c r="W43" s="351"/>
      <c r="X43" s="351"/>
      <c r="Y43" s="351"/>
      <c r="Z43" s="351"/>
      <c r="AA43" s="99"/>
      <c r="AB43" s="351"/>
      <c r="AC43" s="351"/>
      <c r="AD43" s="351"/>
      <c r="AE43" s="351"/>
      <c r="AF43" s="351"/>
      <c r="AG43" s="99"/>
      <c r="AH43" s="351"/>
    </row>
    <row r="44" spans="1:34" ht="10.8" thickBot="1" x14ac:dyDescent="0.25">
      <c r="A44" s="380"/>
      <c r="B44" s="376"/>
      <c r="C44" s="376" t="s">
        <v>8</v>
      </c>
      <c r="D44" s="354" t="s">
        <v>78</v>
      </c>
      <c r="E44" s="351">
        <v>1</v>
      </c>
      <c r="F44" s="351">
        <v>1</v>
      </c>
      <c r="G44" s="351">
        <v>1</v>
      </c>
      <c r="H44" s="351">
        <v>1</v>
      </c>
      <c r="I44" s="354"/>
      <c r="J44" s="351">
        <v>1</v>
      </c>
      <c r="K44" s="351">
        <v>1</v>
      </c>
      <c r="L44" s="351">
        <v>1</v>
      </c>
      <c r="M44" s="351">
        <v>1</v>
      </c>
      <c r="N44" s="351">
        <v>1</v>
      </c>
      <c r="O44" s="99"/>
      <c r="P44" s="351">
        <v>1</v>
      </c>
      <c r="Q44" s="351">
        <v>1</v>
      </c>
      <c r="R44" s="351">
        <v>1</v>
      </c>
      <c r="S44" s="351">
        <v>1</v>
      </c>
      <c r="T44" s="351">
        <v>1</v>
      </c>
      <c r="U44" s="99"/>
      <c r="V44" s="351">
        <v>1</v>
      </c>
      <c r="W44" s="351">
        <v>1</v>
      </c>
      <c r="X44" s="351">
        <v>1</v>
      </c>
      <c r="Y44" s="351">
        <v>1</v>
      </c>
      <c r="Z44" s="351">
        <v>1</v>
      </c>
      <c r="AA44" s="99"/>
      <c r="AB44" s="351">
        <v>1</v>
      </c>
      <c r="AC44" s="351">
        <v>1</v>
      </c>
      <c r="AD44" s="351">
        <v>1</v>
      </c>
      <c r="AE44" s="351">
        <v>1</v>
      </c>
      <c r="AF44" s="351">
        <v>1</v>
      </c>
      <c r="AG44" s="99"/>
      <c r="AH44" s="351">
        <v>1</v>
      </c>
    </row>
    <row r="45" spans="1:34" ht="10.8" thickBot="1" x14ac:dyDescent="0.25">
      <c r="A45" s="380"/>
      <c r="B45" s="376"/>
      <c r="C45" s="376"/>
      <c r="D45" s="354"/>
      <c r="E45" s="351"/>
      <c r="F45" s="351"/>
      <c r="G45" s="351"/>
      <c r="H45" s="351"/>
      <c r="I45" s="354"/>
      <c r="J45" s="351"/>
      <c r="K45" s="351"/>
      <c r="L45" s="351"/>
      <c r="M45" s="351"/>
      <c r="N45" s="351"/>
      <c r="O45" s="99"/>
      <c r="P45" s="351"/>
      <c r="Q45" s="351"/>
      <c r="R45" s="351"/>
      <c r="S45" s="351"/>
      <c r="T45" s="351"/>
      <c r="U45" s="99"/>
      <c r="V45" s="351"/>
      <c r="W45" s="351"/>
      <c r="X45" s="351"/>
      <c r="Y45" s="351"/>
      <c r="Z45" s="351"/>
      <c r="AA45" s="99"/>
      <c r="AB45" s="351"/>
      <c r="AC45" s="351"/>
      <c r="AD45" s="351"/>
      <c r="AE45" s="351"/>
      <c r="AF45" s="351"/>
      <c r="AG45" s="99"/>
      <c r="AH45" s="351"/>
    </row>
    <row r="46" spans="1:34" ht="10.8" thickBot="1" x14ac:dyDescent="0.25">
      <c r="A46" s="380"/>
      <c r="B46" s="376" t="s">
        <v>0</v>
      </c>
      <c r="C46" s="376" t="s">
        <v>6</v>
      </c>
      <c r="D46" s="354" t="s">
        <v>78</v>
      </c>
      <c r="E46" s="351">
        <v>1</v>
      </c>
      <c r="F46" s="351">
        <v>1</v>
      </c>
      <c r="G46" s="351">
        <v>1</v>
      </c>
      <c r="H46" s="351">
        <v>1</v>
      </c>
      <c r="I46" s="354"/>
      <c r="J46" s="351">
        <v>1</v>
      </c>
      <c r="K46" s="351">
        <v>1</v>
      </c>
      <c r="L46" s="351">
        <v>1</v>
      </c>
      <c r="M46" s="351">
        <v>1</v>
      </c>
      <c r="N46" s="351">
        <v>1</v>
      </c>
      <c r="O46" s="99"/>
      <c r="P46" s="351">
        <v>1</v>
      </c>
      <c r="Q46" s="351">
        <v>1</v>
      </c>
      <c r="R46" s="351">
        <v>1</v>
      </c>
      <c r="S46" s="351">
        <v>1</v>
      </c>
      <c r="T46" s="351">
        <v>1</v>
      </c>
      <c r="U46" s="99"/>
      <c r="V46" s="351">
        <v>1</v>
      </c>
      <c r="W46" s="351">
        <v>1</v>
      </c>
      <c r="X46" s="351">
        <v>1</v>
      </c>
      <c r="Y46" s="351">
        <v>1</v>
      </c>
      <c r="Z46" s="351">
        <v>1</v>
      </c>
      <c r="AA46" s="99"/>
      <c r="AB46" s="351">
        <v>1</v>
      </c>
      <c r="AC46" s="351">
        <v>1</v>
      </c>
      <c r="AD46" s="351">
        <v>1</v>
      </c>
      <c r="AE46" s="351">
        <v>1</v>
      </c>
      <c r="AF46" s="351">
        <v>1</v>
      </c>
      <c r="AG46" s="99"/>
      <c r="AH46" s="351">
        <v>1</v>
      </c>
    </row>
    <row r="47" spans="1:34" ht="10.8" thickBot="1" x14ac:dyDescent="0.25">
      <c r="A47" s="380"/>
      <c r="B47" s="376"/>
      <c r="C47" s="376"/>
      <c r="D47" s="354"/>
      <c r="E47" s="351"/>
      <c r="F47" s="351"/>
      <c r="G47" s="351"/>
      <c r="H47" s="351"/>
      <c r="I47" s="354"/>
      <c r="J47" s="351"/>
      <c r="K47" s="351"/>
      <c r="L47" s="351"/>
      <c r="M47" s="351"/>
      <c r="N47" s="351"/>
      <c r="O47" s="99"/>
      <c r="P47" s="351"/>
      <c r="Q47" s="351"/>
      <c r="R47" s="351"/>
      <c r="S47" s="351"/>
      <c r="T47" s="351"/>
      <c r="U47" s="99"/>
      <c r="V47" s="351"/>
      <c r="W47" s="351"/>
      <c r="X47" s="351"/>
      <c r="Y47" s="351"/>
      <c r="Z47" s="351"/>
      <c r="AA47" s="99"/>
      <c r="AB47" s="351"/>
      <c r="AC47" s="351"/>
      <c r="AD47" s="351"/>
      <c r="AE47" s="351"/>
      <c r="AF47" s="351"/>
      <c r="AG47" s="99"/>
      <c r="AH47" s="351"/>
    </row>
    <row r="48" spans="1:34" ht="10.8" thickBot="1" x14ac:dyDescent="0.25">
      <c r="A48" s="380"/>
      <c r="B48" s="376"/>
      <c r="C48" s="376" t="s">
        <v>7</v>
      </c>
      <c r="D48" s="354" t="s">
        <v>78</v>
      </c>
      <c r="E48" s="351">
        <v>1</v>
      </c>
      <c r="F48" s="351">
        <v>1</v>
      </c>
      <c r="G48" s="351">
        <v>1</v>
      </c>
      <c r="H48" s="351">
        <v>1</v>
      </c>
      <c r="I48" s="354"/>
      <c r="J48" s="351">
        <v>1</v>
      </c>
      <c r="K48" s="351">
        <v>1</v>
      </c>
      <c r="L48" s="351">
        <v>1</v>
      </c>
      <c r="M48" s="351">
        <v>1</v>
      </c>
      <c r="N48" s="351">
        <v>1</v>
      </c>
      <c r="O48" s="99"/>
      <c r="P48" s="351">
        <v>1</v>
      </c>
      <c r="Q48" s="351">
        <v>1</v>
      </c>
      <c r="R48" s="351">
        <v>1</v>
      </c>
      <c r="S48" s="351">
        <v>1</v>
      </c>
      <c r="T48" s="351">
        <v>1</v>
      </c>
      <c r="U48" s="99"/>
      <c r="V48" s="351">
        <v>1</v>
      </c>
      <c r="W48" s="351">
        <v>1</v>
      </c>
      <c r="X48" s="351">
        <v>1</v>
      </c>
      <c r="Y48" s="351">
        <v>1</v>
      </c>
      <c r="Z48" s="351">
        <v>1</v>
      </c>
      <c r="AA48" s="99"/>
      <c r="AB48" s="351">
        <v>1</v>
      </c>
      <c r="AC48" s="351">
        <v>1</v>
      </c>
      <c r="AD48" s="351">
        <v>1</v>
      </c>
      <c r="AE48" s="351">
        <v>1</v>
      </c>
      <c r="AF48" s="351">
        <v>1</v>
      </c>
      <c r="AG48" s="99"/>
      <c r="AH48" s="351">
        <v>1</v>
      </c>
    </row>
    <row r="49" spans="1:34" ht="10.8" thickBot="1" x14ac:dyDescent="0.25">
      <c r="A49" s="380"/>
      <c r="B49" s="376"/>
      <c r="C49" s="376"/>
      <c r="D49" s="354"/>
      <c r="E49" s="351"/>
      <c r="F49" s="351"/>
      <c r="G49" s="351"/>
      <c r="H49" s="351"/>
      <c r="I49" s="354"/>
      <c r="J49" s="351"/>
      <c r="K49" s="351"/>
      <c r="L49" s="351"/>
      <c r="M49" s="351"/>
      <c r="N49" s="351"/>
      <c r="O49" s="99"/>
      <c r="P49" s="351"/>
      <c r="Q49" s="351"/>
      <c r="R49" s="351"/>
      <c r="S49" s="351"/>
      <c r="T49" s="351"/>
      <c r="U49" s="99"/>
      <c r="V49" s="351"/>
      <c r="W49" s="351"/>
      <c r="X49" s="351"/>
      <c r="Y49" s="351"/>
      <c r="Z49" s="351"/>
      <c r="AA49" s="99"/>
      <c r="AB49" s="351"/>
      <c r="AC49" s="351"/>
      <c r="AD49" s="351"/>
      <c r="AE49" s="351"/>
      <c r="AF49" s="351"/>
      <c r="AG49" s="99"/>
      <c r="AH49" s="351"/>
    </row>
    <row r="50" spans="1:34" ht="10.8" thickBot="1" x14ac:dyDescent="0.25">
      <c r="A50" s="380"/>
      <c r="B50" s="376"/>
      <c r="C50" s="376" t="s">
        <v>8</v>
      </c>
      <c r="D50" s="354" t="s">
        <v>78</v>
      </c>
      <c r="E50" s="351">
        <v>1</v>
      </c>
      <c r="F50" s="351">
        <v>1</v>
      </c>
      <c r="G50" s="351">
        <v>1</v>
      </c>
      <c r="H50" s="351">
        <v>1</v>
      </c>
      <c r="I50" s="354"/>
      <c r="J50" s="351">
        <v>1</v>
      </c>
      <c r="K50" s="351">
        <v>1</v>
      </c>
      <c r="L50" s="351">
        <v>1</v>
      </c>
      <c r="M50" s="351">
        <v>1</v>
      </c>
      <c r="N50" s="351">
        <v>1</v>
      </c>
      <c r="O50" s="99"/>
      <c r="P50" s="351">
        <v>1</v>
      </c>
      <c r="Q50" s="351">
        <v>1</v>
      </c>
      <c r="R50" s="351">
        <v>1</v>
      </c>
      <c r="S50" s="351">
        <v>1</v>
      </c>
      <c r="T50" s="351">
        <v>1</v>
      </c>
      <c r="U50" s="99"/>
      <c r="V50" s="351">
        <v>1</v>
      </c>
      <c r="W50" s="351">
        <v>1</v>
      </c>
      <c r="X50" s="351">
        <v>1</v>
      </c>
      <c r="Y50" s="351">
        <v>1</v>
      </c>
      <c r="Z50" s="351">
        <v>1</v>
      </c>
      <c r="AA50" s="99"/>
      <c r="AB50" s="351">
        <v>1</v>
      </c>
      <c r="AC50" s="351">
        <v>1</v>
      </c>
      <c r="AD50" s="351">
        <v>1</v>
      </c>
      <c r="AE50" s="351">
        <v>1</v>
      </c>
      <c r="AF50" s="351">
        <v>1</v>
      </c>
      <c r="AG50" s="99"/>
      <c r="AH50" s="351">
        <v>1</v>
      </c>
    </row>
    <row r="51" spans="1:34" ht="10.8" thickBot="1" x14ac:dyDescent="0.25">
      <c r="A51" s="380"/>
      <c r="B51" s="376"/>
      <c r="C51" s="376"/>
      <c r="D51" s="354"/>
      <c r="E51" s="351"/>
      <c r="F51" s="351"/>
      <c r="G51" s="351"/>
      <c r="H51" s="351"/>
      <c r="I51" s="354"/>
      <c r="J51" s="351"/>
      <c r="K51" s="351"/>
      <c r="L51" s="351"/>
      <c r="M51" s="351"/>
      <c r="N51" s="351"/>
      <c r="O51" s="99"/>
      <c r="P51" s="351"/>
      <c r="Q51" s="351"/>
      <c r="R51" s="351"/>
      <c r="S51" s="351"/>
      <c r="T51" s="351"/>
      <c r="U51" s="99"/>
      <c r="V51" s="351"/>
      <c r="W51" s="351"/>
      <c r="X51" s="351"/>
      <c r="Y51" s="351"/>
      <c r="Z51" s="351"/>
      <c r="AA51" s="99"/>
      <c r="AB51" s="351"/>
      <c r="AC51" s="351"/>
      <c r="AD51" s="351"/>
      <c r="AE51" s="351"/>
      <c r="AF51" s="351"/>
      <c r="AG51" s="99"/>
      <c r="AH51" s="351"/>
    </row>
    <row r="52" spans="1:34" ht="10.8" thickBot="1" x14ac:dyDescent="0.25">
      <c r="A52" s="380"/>
      <c r="B52" s="376" t="s">
        <v>40</v>
      </c>
      <c r="C52" s="378" t="s">
        <v>6</v>
      </c>
      <c r="D52" s="354" t="s">
        <v>78</v>
      </c>
      <c r="E52" s="351">
        <v>1</v>
      </c>
      <c r="F52" s="351">
        <v>1</v>
      </c>
      <c r="G52" s="351">
        <v>1</v>
      </c>
      <c r="H52" s="351">
        <v>1</v>
      </c>
      <c r="I52" s="354"/>
      <c r="J52" s="351">
        <v>1</v>
      </c>
      <c r="K52" s="351">
        <v>1</v>
      </c>
      <c r="L52" s="351">
        <v>1</v>
      </c>
      <c r="M52" s="351">
        <v>1</v>
      </c>
      <c r="N52" s="351">
        <v>1</v>
      </c>
      <c r="O52" s="99"/>
      <c r="P52" s="351">
        <v>1</v>
      </c>
      <c r="Q52" s="351">
        <v>1</v>
      </c>
      <c r="R52" s="351">
        <v>1</v>
      </c>
      <c r="S52" s="351">
        <v>1</v>
      </c>
      <c r="T52" s="351">
        <v>1</v>
      </c>
      <c r="U52" s="99"/>
      <c r="V52" s="351">
        <v>1</v>
      </c>
      <c r="W52" s="351">
        <v>1</v>
      </c>
      <c r="X52" s="351">
        <v>1</v>
      </c>
      <c r="Y52" s="351">
        <v>1</v>
      </c>
      <c r="Z52" s="351">
        <v>1</v>
      </c>
      <c r="AA52" s="99"/>
      <c r="AB52" s="351">
        <v>1</v>
      </c>
      <c r="AC52" s="351">
        <v>1</v>
      </c>
      <c r="AD52" s="351">
        <v>1</v>
      </c>
      <c r="AE52" s="351">
        <v>1</v>
      </c>
      <c r="AF52" s="351">
        <v>1</v>
      </c>
      <c r="AG52" s="99"/>
      <c r="AH52" s="351">
        <v>1</v>
      </c>
    </row>
    <row r="53" spans="1:34" ht="10.8" thickBot="1" x14ac:dyDescent="0.25">
      <c r="A53" s="380"/>
      <c r="B53" s="376"/>
      <c r="C53" s="378"/>
      <c r="D53" s="354"/>
      <c r="E53" s="351"/>
      <c r="F53" s="351"/>
      <c r="G53" s="351"/>
      <c r="H53" s="351"/>
      <c r="I53" s="354"/>
      <c r="J53" s="351"/>
      <c r="K53" s="351"/>
      <c r="L53" s="351"/>
      <c r="M53" s="351"/>
      <c r="N53" s="351"/>
      <c r="O53" s="99"/>
      <c r="P53" s="351"/>
      <c r="Q53" s="351"/>
      <c r="R53" s="351"/>
      <c r="S53" s="351"/>
      <c r="T53" s="351"/>
      <c r="U53" s="99"/>
      <c r="V53" s="351"/>
      <c r="W53" s="351"/>
      <c r="X53" s="351"/>
      <c r="Y53" s="351"/>
      <c r="Z53" s="351"/>
      <c r="AA53" s="99"/>
      <c r="AB53" s="351"/>
      <c r="AC53" s="351"/>
      <c r="AD53" s="351"/>
      <c r="AE53" s="351"/>
      <c r="AF53" s="351"/>
      <c r="AG53" s="99"/>
      <c r="AH53" s="351"/>
    </row>
    <row r="54" spans="1:34" ht="10.8" thickBot="1" x14ac:dyDescent="0.25">
      <c r="A54" s="380"/>
      <c r="B54" s="376"/>
      <c r="C54" s="378" t="s">
        <v>7</v>
      </c>
      <c r="D54" s="354" t="s">
        <v>78</v>
      </c>
      <c r="E54" s="351">
        <v>1</v>
      </c>
      <c r="F54" s="351">
        <v>1</v>
      </c>
      <c r="G54" s="351">
        <v>1</v>
      </c>
      <c r="H54" s="351">
        <v>1</v>
      </c>
      <c r="I54" s="354"/>
      <c r="J54" s="351">
        <v>1</v>
      </c>
      <c r="K54" s="351">
        <v>1</v>
      </c>
      <c r="L54" s="351">
        <v>1</v>
      </c>
      <c r="M54" s="351">
        <v>1</v>
      </c>
      <c r="N54" s="351">
        <v>1</v>
      </c>
      <c r="O54" s="99"/>
      <c r="P54" s="351">
        <v>1</v>
      </c>
      <c r="Q54" s="351">
        <v>1</v>
      </c>
      <c r="R54" s="351">
        <v>1</v>
      </c>
      <c r="S54" s="351">
        <v>1</v>
      </c>
      <c r="T54" s="351">
        <v>1</v>
      </c>
      <c r="U54" s="99"/>
      <c r="V54" s="351">
        <v>1</v>
      </c>
      <c r="W54" s="351">
        <v>1</v>
      </c>
      <c r="X54" s="351">
        <v>1</v>
      </c>
      <c r="Y54" s="351">
        <v>1</v>
      </c>
      <c r="Z54" s="351">
        <v>1</v>
      </c>
      <c r="AA54" s="99"/>
      <c r="AB54" s="351">
        <v>1</v>
      </c>
      <c r="AC54" s="351">
        <v>1</v>
      </c>
      <c r="AD54" s="351">
        <v>1</v>
      </c>
      <c r="AE54" s="351">
        <v>1</v>
      </c>
      <c r="AF54" s="351">
        <v>1</v>
      </c>
      <c r="AG54" s="99"/>
      <c r="AH54" s="351">
        <v>1</v>
      </c>
    </row>
    <row r="55" spans="1:34" ht="10.8" thickBot="1" x14ac:dyDescent="0.25">
      <c r="A55" s="380"/>
      <c r="B55" s="376"/>
      <c r="C55" s="378"/>
      <c r="D55" s="354"/>
      <c r="E55" s="351"/>
      <c r="F55" s="351"/>
      <c r="G55" s="351"/>
      <c r="H55" s="351"/>
      <c r="I55" s="354"/>
      <c r="J55" s="351"/>
      <c r="K55" s="351"/>
      <c r="L55" s="351"/>
      <c r="M55" s="351"/>
      <c r="N55" s="351"/>
      <c r="O55" s="99"/>
      <c r="P55" s="351"/>
      <c r="Q55" s="351"/>
      <c r="R55" s="351"/>
      <c r="S55" s="351"/>
      <c r="T55" s="351"/>
      <c r="U55" s="99"/>
      <c r="V55" s="351"/>
      <c r="W55" s="351"/>
      <c r="X55" s="351"/>
      <c r="Y55" s="351"/>
      <c r="Z55" s="351"/>
      <c r="AA55" s="99"/>
      <c r="AB55" s="351"/>
      <c r="AC55" s="351"/>
      <c r="AD55" s="351"/>
      <c r="AE55" s="351"/>
      <c r="AF55" s="351"/>
      <c r="AG55" s="99"/>
      <c r="AH55" s="351"/>
    </row>
    <row r="56" spans="1:34" ht="10.8" thickBot="1" x14ac:dyDescent="0.25">
      <c r="A56" s="380"/>
      <c r="B56" s="376"/>
      <c r="C56" s="378" t="s">
        <v>8</v>
      </c>
      <c r="D56" s="354" t="s">
        <v>78</v>
      </c>
      <c r="E56" s="351">
        <v>1</v>
      </c>
      <c r="F56" s="351">
        <v>1</v>
      </c>
      <c r="G56" s="351">
        <v>1</v>
      </c>
      <c r="H56" s="351">
        <v>1</v>
      </c>
      <c r="I56" s="354"/>
      <c r="J56" s="351">
        <v>1</v>
      </c>
      <c r="K56" s="351">
        <v>1</v>
      </c>
      <c r="L56" s="351">
        <v>1</v>
      </c>
      <c r="M56" s="351">
        <v>1</v>
      </c>
      <c r="N56" s="351">
        <v>1</v>
      </c>
      <c r="O56" s="99"/>
      <c r="P56" s="351">
        <v>1</v>
      </c>
      <c r="Q56" s="351">
        <v>1</v>
      </c>
      <c r="R56" s="351">
        <v>1</v>
      </c>
      <c r="S56" s="351">
        <v>1</v>
      </c>
      <c r="T56" s="351">
        <v>1</v>
      </c>
      <c r="U56" s="99"/>
      <c r="V56" s="351">
        <v>1</v>
      </c>
      <c r="W56" s="351">
        <v>1</v>
      </c>
      <c r="X56" s="351">
        <v>1</v>
      </c>
      <c r="Y56" s="351">
        <v>1</v>
      </c>
      <c r="Z56" s="351">
        <v>1</v>
      </c>
      <c r="AA56" s="99"/>
      <c r="AB56" s="351">
        <v>1</v>
      </c>
      <c r="AC56" s="351">
        <v>1</v>
      </c>
      <c r="AD56" s="351">
        <v>1</v>
      </c>
      <c r="AE56" s="351">
        <v>1</v>
      </c>
      <c r="AF56" s="351">
        <v>1</v>
      </c>
      <c r="AG56" s="99"/>
      <c r="AH56" s="351">
        <v>1</v>
      </c>
    </row>
    <row r="57" spans="1:34" ht="16.2" customHeight="1" thickBot="1" x14ac:dyDescent="0.25">
      <c r="A57" s="385"/>
      <c r="B57" s="376"/>
      <c r="C57" s="378"/>
      <c r="D57" s="354"/>
      <c r="E57" s="351"/>
      <c r="F57" s="351"/>
      <c r="G57" s="351"/>
      <c r="H57" s="351"/>
      <c r="I57" s="354"/>
      <c r="J57" s="351"/>
      <c r="K57" s="351"/>
      <c r="L57" s="351"/>
      <c r="M57" s="351"/>
      <c r="N57" s="351"/>
      <c r="O57" s="99"/>
      <c r="P57" s="351"/>
      <c r="Q57" s="351"/>
      <c r="R57" s="351"/>
      <c r="S57" s="351"/>
      <c r="T57" s="351"/>
      <c r="U57" s="99"/>
      <c r="V57" s="351"/>
      <c r="W57" s="351"/>
      <c r="X57" s="351"/>
      <c r="Y57" s="351"/>
      <c r="Z57" s="351"/>
      <c r="AA57" s="99"/>
      <c r="AB57" s="351"/>
      <c r="AC57" s="351"/>
      <c r="AD57" s="351"/>
      <c r="AE57" s="351"/>
      <c r="AF57" s="351"/>
      <c r="AG57" s="99"/>
      <c r="AH57" s="351"/>
    </row>
    <row r="58" spans="1:34" ht="10.8" thickBot="1" x14ac:dyDescent="0.25">
      <c r="A58" s="105">
        <v>1.3</v>
      </c>
      <c r="B58" s="365" t="s">
        <v>13</v>
      </c>
      <c r="C58" s="371"/>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4"/>
    </row>
    <row r="59" spans="1:34" ht="10.8" thickBot="1" x14ac:dyDescent="0.25">
      <c r="A59" s="379"/>
      <c r="B59" s="376" t="s">
        <v>77</v>
      </c>
      <c r="C59" s="376"/>
      <c r="D59" s="354" t="s">
        <v>78</v>
      </c>
      <c r="E59" s="351">
        <v>1</v>
      </c>
      <c r="F59" s="351">
        <v>1</v>
      </c>
      <c r="G59" s="351">
        <v>1</v>
      </c>
      <c r="H59" s="351">
        <v>1</v>
      </c>
      <c r="I59" s="354"/>
      <c r="J59" s="351">
        <v>1</v>
      </c>
      <c r="K59" s="351">
        <v>1</v>
      </c>
      <c r="L59" s="351">
        <v>1</v>
      </c>
      <c r="M59" s="351">
        <v>1</v>
      </c>
      <c r="N59" s="351">
        <v>1</v>
      </c>
      <c r="O59" s="99"/>
      <c r="P59" s="351">
        <v>1</v>
      </c>
      <c r="Q59" s="351">
        <v>1</v>
      </c>
      <c r="R59" s="351">
        <v>1</v>
      </c>
      <c r="S59" s="351">
        <v>1</v>
      </c>
      <c r="T59" s="351">
        <v>1</v>
      </c>
      <c r="U59" s="99"/>
      <c r="V59" s="351">
        <v>1</v>
      </c>
      <c r="W59" s="351">
        <v>1</v>
      </c>
      <c r="X59" s="351">
        <v>1</v>
      </c>
      <c r="Y59" s="351">
        <v>1</v>
      </c>
      <c r="Z59" s="351">
        <v>1</v>
      </c>
      <c r="AA59" s="99"/>
      <c r="AB59" s="351">
        <v>1</v>
      </c>
      <c r="AC59" s="351">
        <v>1</v>
      </c>
      <c r="AD59" s="351">
        <v>1</v>
      </c>
      <c r="AE59" s="351">
        <v>1</v>
      </c>
      <c r="AF59" s="351">
        <v>1</v>
      </c>
      <c r="AG59" s="99"/>
      <c r="AH59" s="351">
        <v>1</v>
      </c>
    </row>
    <row r="60" spans="1:34" ht="27.6" customHeight="1" thickBot="1" x14ac:dyDescent="0.25">
      <c r="A60" s="380"/>
      <c r="B60" s="376"/>
      <c r="C60" s="376"/>
      <c r="D60" s="354"/>
      <c r="E60" s="351"/>
      <c r="F60" s="351"/>
      <c r="G60" s="351"/>
      <c r="H60" s="351"/>
      <c r="I60" s="354" t="e">
        <f>#REF!+F60+G60+H60</f>
        <v>#REF!</v>
      </c>
      <c r="J60" s="351"/>
      <c r="K60" s="351"/>
      <c r="L60" s="351"/>
      <c r="M60" s="351"/>
      <c r="N60" s="351"/>
      <c r="O60" s="99"/>
      <c r="P60" s="351"/>
      <c r="Q60" s="351"/>
      <c r="R60" s="351"/>
      <c r="S60" s="351"/>
      <c r="T60" s="351"/>
      <c r="U60" s="99"/>
      <c r="V60" s="351"/>
      <c r="W60" s="351"/>
      <c r="X60" s="351"/>
      <c r="Y60" s="351"/>
      <c r="Z60" s="351"/>
      <c r="AA60" s="99"/>
      <c r="AB60" s="351"/>
      <c r="AC60" s="351"/>
      <c r="AD60" s="351"/>
      <c r="AE60" s="351"/>
      <c r="AF60" s="351"/>
      <c r="AG60" s="99"/>
      <c r="AH60" s="351"/>
    </row>
    <row r="61" spans="1:34" ht="27.6" customHeight="1" thickBot="1" x14ac:dyDescent="0.25">
      <c r="A61" s="380"/>
      <c r="B61" s="376" t="s">
        <v>118</v>
      </c>
      <c r="C61" s="376"/>
      <c r="D61" s="354" t="s">
        <v>78</v>
      </c>
      <c r="E61" s="351">
        <v>0.4</v>
      </c>
      <c r="F61" s="351">
        <v>0.4</v>
      </c>
      <c r="G61" s="351">
        <v>0.4</v>
      </c>
      <c r="H61" s="351">
        <v>0.4</v>
      </c>
      <c r="I61" s="354"/>
      <c r="J61" s="351">
        <v>0.4</v>
      </c>
      <c r="K61" s="351">
        <v>1</v>
      </c>
      <c r="L61" s="351">
        <v>1</v>
      </c>
      <c r="M61" s="351">
        <v>1</v>
      </c>
      <c r="N61" s="351">
        <v>1</v>
      </c>
      <c r="O61" s="99"/>
      <c r="P61" s="351">
        <v>1</v>
      </c>
      <c r="Q61" s="351">
        <v>1</v>
      </c>
      <c r="R61" s="351">
        <v>1</v>
      </c>
      <c r="S61" s="351">
        <v>1</v>
      </c>
      <c r="T61" s="351">
        <v>1</v>
      </c>
      <c r="U61" s="99"/>
      <c r="V61" s="351">
        <v>1</v>
      </c>
      <c r="W61" s="351">
        <v>1</v>
      </c>
      <c r="X61" s="351">
        <v>1</v>
      </c>
      <c r="Y61" s="351">
        <v>1</v>
      </c>
      <c r="Z61" s="351">
        <v>1</v>
      </c>
      <c r="AA61" s="99"/>
      <c r="AB61" s="351">
        <v>1</v>
      </c>
      <c r="AC61" s="351">
        <v>1</v>
      </c>
      <c r="AD61" s="351">
        <v>1</v>
      </c>
      <c r="AE61" s="351">
        <v>1</v>
      </c>
      <c r="AF61" s="351">
        <v>1</v>
      </c>
      <c r="AG61" s="99"/>
      <c r="AH61" s="351">
        <v>1</v>
      </c>
    </row>
    <row r="62" spans="1:34" ht="29.25" customHeight="1" thickBot="1" x14ac:dyDescent="0.25">
      <c r="A62" s="380"/>
      <c r="B62" s="376"/>
      <c r="C62" s="376"/>
      <c r="D62" s="354"/>
      <c r="E62" s="351"/>
      <c r="F62" s="351"/>
      <c r="G62" s="351"/>
      <c r="H62" s="351"/>
      <c r="I62" s="354">
        <f>F62</f>
        <v>0</v>
      </c>
      <c r="J62" s="351"/>
      <c r="K62" s="351"/>
      <c r="L62" s="351"/>
      <c r="M62" s="351"/>
      <c r="N62" s="351"/>
      <c r="O62" s="99"/>
      <c r="P62" s="351"/>
      <c r="Q62" s="351"/>
      <c r="R62" s="351"/>
      <c r="S62" s="351"/>
      <c r="T62" s="351"/>
      <c r="U62" s="99"/>
      <c r="V62" s="351"/>
      <c r="W62" s="351"/>
      <c r="X62" s="351"/>
      <c r="Y62" s="351"/>
      <c r="Z62" s="351"/>
      <c r="AA62" s="99"/>
      <c r="AB62" s="351"/>
      <c r="AC62" s="351"/>
      <c r="AD62" s="351"/>
      <c r="AE62" s="351"/>
      <c r="AF62" s="351"/>
      <c r="AG62" s="99"/>
      <c r="AH62" s="351"/>
    </row>
    <row r="63" spans="1:34" ht="32.25" customHeight="1" thickBot="1" x14ac:dyDescent="0.25">
      <c r="A63" s="380"/>
      <c r="B63" s="376" t="s">
        <v>120</v>
      </c>
      <c r="C63" s="376"/>
      <c r="D63" s="354" t="s">
        <v>78</v>
      </c>
      <c r="E63" s="355">
        <v>2.5000000000000001E-3</v>
      </c>
      <c r="F63" s="355">
        <v>2.5000000000000001E-3</v>
      </c>
      <c r="G63" s="355">
        <v>2.5000000000000001E-3</v>
      </c>
      <c r="H63" s="355">
        <v>2.5000000000000001E-3</v>
      </c>
      <c r="I63" s="99"/>
      <c r="J63" s="355">
        <v>2.5000000000000001E-3</v>
      </c>
      <c r="K63" s="355">
        <v>2.3999999999999998E-3</v>
      </c>
      <c r="L63" s="355">
        <v>2.3999999999999998E-3</v>
      </c>
      <c r="M63" s="355">
        <v>2.3999999999999998E-3</v>
      </c>
      <c r="N63" s="355">
        <v>2.3999999999999998E-3</v>
      </c>
      <c r="O63" s="99"/>
      <c r="P63" s="355">
        <v>2.3999999999999998E-3</v>
      </c>
      <c r="Q63" s="355">
        <v>2.3E-3</v>
      </c>
      <c r="R63" s="355">
        <v>2.3E-3</v>
      </c>
      <c r="S63" s="355">
        <v>2.3E-3</v>
      </c>
      <c r="T63" s="355">
        <v>2.3E-3</v>
      </c>
      <c r="U63" s="99"/>
      <c r="V63" s="355">
        <v>2.3E-3</v>
      </c>
      <c r="W63" s="355">
        <v>2.2000000000000001E-3</v>
      </c>
      <c r="X63" s="355">
        <v>2.2000000000000001E-3</v>
      </c>
      <c r="Y63" s="355">
        <v>2.2000000000000001E-3</v>
      </c>
      <c r="Z63" s="355">
        <v>2.2000000000000001E-3</v>
      </c>
      <c r="AA63" s="99"/>
      <c r="AB63" s="355">
        <v>2.2000000000000001E-3</v>
      </c>
      <c r="AC63" s="355">
        <v>2E-3</v>
      </c>
      <c r="AD63" s="355">
        <v>2E-3</v>
      </c>
      <c r="AE63" s="355">
        <v>2E-3</v>
      </c>
      <c r="AF63" s="355">
        <v>2E-3</v>
      </c>
      <c r="AG63" s="99"/>
      <c r="AH63" s="355">
        <v>2E-3</v>
      </c>
    </row>
    <row r="64" spans="1:34" ht="26.25" customHeight="1" thickBot="1" x14ac:dyDescent="0.25">
      <c r="A64" s="380"/>
      <c r="B64" s="390"/>
      <c r="C64" s="390"/>
      <c r="D64" s="354"/>
      <c r="E64" s="354"/>
      <c r="F64" s="354"/>
      <c r="G64" s="354"/>
      <c r="H64" s="354"/>
      <c r="I64" s="99"/>
      <c r="J64" s="354"/>
      <c r="K64" s="355"/>
      <c r="L64" s="355"/>
      <c r="M64" s="355"/>
      <c r="N64" s="355"/>
      <c r="O64" s="99"/>
      <c r="P64" s="355"/>
      <c r="Q64" s="355"/>
      <c r="R64" s="355"/>
      <c r="S64" s="355"/>
      <c r="T64" s="355"/>
      <c r="U64" s="99"/>
      <c r="V64" s="355"/>
      <c r="W64" s="355"/>
      <c r="X64" s="355"/>
      <c r="Y64" s="355"/>
      <c r="Z64" s="355"/>
      <c r="AA64" s="99"/>
      <c r="AB64" s="355"/>
      <c r="AC64" s="354"/>
      <c r="AD64" s="354"/>
      <c r="AE64" s="354"/>
      <c r="AF64" s="354"/>
      <c r="AG64" s="99"/>
      <c r="AH64" s="354"/>
    </row>
    <row r="65" spans="1:34" ht="10.8" thickBot="1" x14ac:dyDescent="0.25">
      <c r="A65" s="380"/>
      <c r="B65" s="376" t="s">
        <v>14</v>
      </c>
      <c r="C65" s="376"/>
      <c r="D65" s="354" t="s">
        <v>78</v>
      </c>
      <c r="E65" s="351">
        <v>0.25</v>
      </c>
      <c r="F65" s="351">
        <v>0.25</v>
      </c>
      <c r="G65" s="351">
        <v>0.25</v>
      </c>
      <c r="H65" s="351">
        <v>0.25</v>
      </c>
      <c r="I65" s="99"/>
      <c r="J65" s="351">
        <v>0.25</v>
      </c>
      <c r="K65" s="351">
        <v>0.24</v>
      </c>
      <c r="L65" s="351">
        <v>0.24</v>
      </c>
      <c r="M65" s="351">
        <v>0.24</v>
      </c>
      <c r="N65" s="351">
        <v>0.24</v>
      </c>
      <c r="O65" s="99"/>
      <c r="P65" s="351">
        <v>0.24</v>
      </c>
      <c r="Q65" s="351">
        <v>0.23</v>
      </c>
      <c r="R65" s="351">
        <v>0.23</v>
      </c>
      <c r="S65" s="351">
        <v>0.23</v>
      </c>
      <c r="T65" s="351">
        <v>0.23</v>
      </c>
      <c r="U65" s="99"/>
      <c r="V65" s="351">
        <v>0.23</v>
      </c>
      <c r="W65" s="351">
        <v>0.22</v>
      </c>
      <c r="X65" s="351">
        <v>0.22</v>
      </c>
      <c r="Y65" s="351">
        <v>0.22</v>
      </c>
      <c r="Z65" s="351">
        <v>0.22</v>
      </c>
      <c r="AA65" s="99"/>
      <c r="AB65" s="351">
        <v>0.22</v>
      </c>
      <c r="AC65" s="351">
        <v>0.2</v>
      </c>
      <c r="AD65" s="351">
        <v>0.2</v>
      </c>
      <c r="AE65" s="351">
        <v>0.2</v>
      </c>
      <c r="AF65" s="351">
        <v>0.2</v>
      </c>
      <c r="AG65" s="99"/>
      <c r="AH65" s="351">
        <v>0.2</v>
      </c>
    </row>
    <row r="66" spans="1:34" ht="10.8" thickBot="1" x14ac:dyDescent="0.25">
      <c r="A66" s="380"/>
      <c r="B66" s="376"/>
      <c r="C66" s="376"/>
      <c r="D66" s="354"/>
      <c r="E66" s="354"/>
      <c r="F66" s="354"/>
      <c r="G66" s="354"/>
      <c r="H66" s="354"/>
      <c r="I66" s="99"/>
      <c r="J66" s="354"/>
      <c r="K66" s="354"/>
      <c r="L66" s="354"/>
      <c r="M66" s="354"/>
      <c r="N66" s="354"/>
      <c r="O66" s="99"/>
      <c r="P66" s="354"/>
      <c r="Q66" s="354"/>
      <c r="R66" s="354"/>
      <c r="S66" s="354"/>
      <c r="T66" s="354"/>
      <c r="U66" s="99"/>
      <c r="V66" s="354"/>
      <c r="W66" s="354"/>
      <c r="X66" s="354"/>
      <c r="Y66" s="354"/>
      <c r="Z66" s="354"/>
      <c r="AA66" s="99"/>
      <c r="AB66" s="354"/>
      <c r="AC66" s="354"/>
      <c r="AD66" s="354"/>
      <c r="AE66" s="354"/>
      <c r="AF66" s="354"/>
      <c r="AG66" s="99"/>
      <c r="AH66" s="354"/>
    </row>
    <row r="67" spans="1:34" ht="10.8" thickBot="1" x14ac:dyDescent="0.25">
      <c r="A67" s="380"/>
      <c r="B67" s="376" t="s">
        <v>111</v>
      </c>
      <c r="C67" s="376"/>
      <c r="D67" s="354" t="s">
        <v>78</v>
      </c>
      <c r="E67" s="351">
        <v>1</v>
      </c>
      <c r="F67" s="351">
        <v>1</v>
      </c>
      <c r="G67" s="351">
        <v>1</v>
      </c>
      <c r="H67" s="351">
        <v>1</v>
      </c>
      <c r="I67" s="99"/>
      <c r="J67" s="351">
        <v>1</v>
      </c>
      <c r="K67" s="351">
        <v>1</v>
      </c>
      <c r="L67" s="351">
        <v>1</v>
      </c>
      <c r="M67" s="351">
        <v>1</v>
      </c>
      <c r="N67" s="351">
        <v>1</v>
      </c>
      <c r="O67" s="99"/>
      <c r="P67" s="351">
        <v>1</v>
      </c>
      <c r="Q67" s="351">
        <v>1</v>
      </c>
      <c r="R67" s="351">
        <v>1</v>
      </c>
      <c r="S67" s="351">
        <v>1</v>
      </c>
      <c r="T67" s="351">
        <v>1</v>
      </c>
      <c r="U67" s="99"/>
      <c r="V67" s="351">
        <v>1</v>
      </c>
      <c r="W67" s="351">
        <v>1</v>
      </c>
      <c r="X67" s="351">
        <v>1</v>
      </c>
      <c r="Y67" s="351">
        <v>1</v>
      </c>
      <c r="Z67" s="351">
        <v>1</v>
      </c>
      <c r="AA67" s="99"/>
      <c r="AB67" s="351">
        <v>1</v>
      </c>
      <c r="AC67" s="351">
        <v>1</v>
      </c>
      <c r="AD67" s="351">
        <v>1</v>
      </c>
      <c r="AE67" s="351">
        <v>1</v>
      </c>
      <c r="AF67" s="351">
        <v>1</v>
      </c>
      <c r="AG67" s="99"/>
      <c r="AH67" s="351">
        <v>1</v>
      </c>
    </row>
    <row r="68" spans="1:34" ht="10.8" thickBot="1" x14ac:dyDescent="0.25">
      <c r="A68" s="380"/>
      <c r="B68" s="376"/>
      <c r="C68" s="376"/>
      <c r="D68" s="354"/>
      <c r="E68" s="351"/>
      <c r="F68" s="351"/>
      <c r="G68" s="351"/>
      <c r="H68" s="351"/>
      <c r="I68" s="99"/>
      <c r="J68" s="351"/>
      <c r="K68" s="351"/>
      <c r="L68" s="351"/>
      <c r="M68" s="351"/>
      <c r="N68" s="351"/>
      <c r="O68" s="99"/>
      <c r="P68" s="351"/>
      <c r="Q68" s="351"/>
      <c r="R68" s="351"/>
      <c r="S68" s="351"/>
      <c r="T68" s="351"/>
      <c r="U68" s="99"/>
      <c r="V68" s="351"/>
      <c r="W68" s="351"/>
      <c r="X68" s="351"/>
      <c r="Y68" s="351"/>
      <c r="Z68" s="351"/>
      <c r="AA68" s="99"/>
      <c r="AB68" s="351"/>
      <c r="AC68" s="351"/>
      <c r="AD68" s="351"/>
      <c r="AE68" s="351"/>
      <c r="AF68" s="351"/>
      <c r="AG68" s="99"/>
      <c r="AH68" s="351"/>
    </row>
    <row r="69" spans="1:34" ht="10.8" thickBot="1" x14ac:dyDescent="0.25">
      <c r="A69" s="380"/>
      <c r="B69" s="376" t="s">
        <v>15</v>
      </c>
      <c r="C69" s="376"/>
      <c r="D69" s="354" t="s">
        <v>78</v>
      </c>
      <c r="E69" s="355">
        <v>7.0000000000000001E-3</v>
      </c>
      <c r="F69" s="355">
        <v>7.0000000000000001E-3</v>
      </c>
      <c r="G69" s="355">
        <v>7.0000000000000001E-3</v>
      </c>
      <c r="H69" s="355">
        <v>7.0000000000000001E-3</v>
      </c>
      <c r="I69" s="99"/>
      <c r="J69" s="355">
        <v>7.0000000000000001E-3</v>
      </c>
      <c r="K69" s="355">
        <v>6.8999999999999999E-3</v>
      </c>
      <c r="L69" s="355">
        <v>6.8999999999999999E-3</v>
      </c>
      <c r="M69" s="355">
        <v>6.8999999999999999E-3</v>
      </c>
      <c r="N69" s="355">
        <v>6.8999999999999999E-3</v>
      </c>
      <c r="O69" s="99"/>
      <c r="P69" s="355">
        <v>6.8999999999999999E-3</v>
      </c>
      <c r="Q69" s="355">
        <v>6.7999999999999996E-3</v>
      </c>
      <c r="R69" s="355">
        <v>6.7999999999999996E-3</v>
      </c>
      <c r="S69" s="355">
        <v>6.7999999999999996E-3</v>
      </c>
      <c r="T69" s="355">
        <v>6.7999999999999996E-3</v>
      </c>
      <c r="U69" s="99"/>
      <c r="V69" s="355">
        <v>6.7999999999999996E-3</v>
      </c>
      <c r="W69" s="355">
        <v>6.7000000000000002E-3</v>
      </c>
      <c r="X69" s="355">
        <v>6.7000000000000002E-3</v>
      </c>
      <c r="Y69" s="355">
        <v>6.7000000000000002E-3</v>
      </c>
      <c r="Z69" s="355">
        <v>6.7000000000000002E-3</v>
      </c>
      <c r="AA69" s="99"/>
      <c r="AB69" s="355">
        <v>6.7000000000000002E-3</v>
      </c>
      <c r="AC69" s="355">
        <v>6.4999999999999997E-3</v>
      </c>
      <c r="AD69" s="355">
        <v>6.4999999999999997E-3</v>
      </c>
      <c r="AE69" s="355">
        <v>6.4999999999999997E-3</v>
      </c>
      <c r="AF69" s="355">
        <v>6.4999999999999997E-3</v>
      </c>
      <c r="AG69" s="99"/>
      <c r="AH69" s="355">
        <v>6.4999999999999997E-3</v>
      </c>
    </row>
    <row r="70" spans="1:34" ht="10.8" thickBot="1" x14ac:dyDescent="0.25">
      <c r="A70" s="380"/>
      <c r="B70" s="376"/>
      <c r="C70" s="376"/>
      <c r="D70" s="354"/>
      <c r="E70" s="354"/>
      <c r="F70" s="354"/>
      <c r="G70" s="354"/>
      <c r="H70" s="354"/>
      <c r="I70" s="99"/>
      <c r="J70" s="354"/>
      <c r="K70" s="354"/>
      <c r="L70" s="354"/>
      <c r="M70" s="354"/>
      <c r="N70" s="354"/>
      <c r="O70" s="99"/>
      <c r="P70" s="354"/>
      <c r="Q70" s="354"/>
      <c r="R70" s="354"/>
      <c r="S70" s="354"/>
      <c r="T70" s="354"/>
      <c r="U70" s="99"/>
      <c r="V70" s="354"/>
      <c r="W70" s="354"/>
      <c r="X70" s="354"/>
      <c r="Y70" s="354"/>
      <c r="Z70" s="354"/>
      <c r="AA70" s="99"/>
      <c r="AB70" s="354"/>
      <c r="AC70" s="354"/>
      <c r="AD70" s="354"/>
      <c r="AE70" s="354"/>
      <c r="AF70" s="354"/>
      <c r="AG70" s="99"/>
      <c r="AH70" s="354"/>
    </row>
    <row r="71" spans="1:34" ht="15" customHeight="1" thickBot="1" x14ac:dyDescent="0.25">
      <c r="A71" s="404"/>
      <c r="B71" s="377" t="s">
        <v>124</v>
      </c>
      <c r="C71" s="377"/>
      <c r="D71" s="372" t="s">
        <v>94</v>
      </c>
      <c r="E71" s="356" t="s">
        <v>125</v>
      </c>
      <c r="F71" s="356" t="s">
        <v>125</v>
      </c>
      <c r="G71" s="356" t="s">
        <v>125</v>
      </c>
      <c r="H71" s="356" t="s">
        <v>125</v>
      </c>
      <c r="I71" s="99"/>
      <c r="J71" s="356" t="s">
        <v>125</v>
      </c>
      <c r="K71" s="356" t="s">
        <v>125</v>
      </c>
      <c r="L71" s="356" t="s">
        <v>125</v>
      </c>
      <c r="M71" s="356" t="s">
        <v>125</v>
      </c>
      <c r="N71" s="356" t="s">
        <v>125</v>
      </c>
      <c r="O71" s="99"/>
      <c r="P71" s="356" t="s">
        <v>125</v>
      </c>
      <c r="Q71" s="356" t="s">
        <v>125</v>
      </c>
      <c r="R71" s="356" t="s">
        <v>125</v>
      </c>
      <c r="S71" s="356" t="s">
        <v>125</v>
      </c>
      <c r="T71" s="356" t="s">
        <v>125</v>
      </c>
      <c r="U71" s="99"/>
      <c r="V71" s="356" t="s">
        <v>125</v>
      </c>
      <c r="W71" s="356" t="s">
        <v>125</v>
      </c>
      <c r="X71" s="356" t="s">
        <v>125</v>
      </c>
      <c r="Y71" s="356" t="s">
        <v>125</v>
      </c>
      <c r="Z71" s="356" t="s">
        <v>125</v>
      </c>
      <c r="AA71" s="99"/>
      <c r="AB71" s="356" t="s">
        <v>125</v>
      </c>
      <c r="AC71" s="356" t="s">
        <v>125</v>
      </c>
      <c r="AD71" s="356" t="s">
        <v>125</v>
      </c>
      <c r="AE71" s="356" t="s">
        <v>125</v>
      </c>
      <c r="AF71" s="356" t="s">
        <v>125</v>
      </c>
      <c r="AG71" s="99"/>
      <c r="AH71" s="356" t="s">
        <v>125</v>
      </c>
    </row>
    <row r="72" spans="1:34" ht="10.8" thickBot="1" x14ac:dyDescent="0.25">
      <c r="A72" s="405"/>
      <c r="B72" s="377"/>
      <c r="C72" s="377"/>
      <c r="D72" s="372"/>
      <c r="E72" s="356"/>
      <c r="F72" s="356"/>
      <c r="G72" s="356"/>
      <c r="H72" s="356"/>
      <c r="I72" s="99"/>
      <c r="J72" s="356"/>
      <c r="K72" s="356"/>
      <c r="L72" s="356"/>
      <c r="M72" s="356"/>
      <c r="N72" s="356"/>
      <c r="O72" s="99"/>
      <c r="P72" s="356"/>
      <c r="Q72" s="356"/>
      <c r="R72" s="356"/>
      <c r="S72" s="356"/>
      <c r="T72" s="356"/>
      <c r="U72" s="99"/>
      <c r="V72" s="356"/>
      <c r="W72" s="356"/>
      <c r="X72" s="356"/>
      <c r="Y72" s="356"/>
      <c r="Z72" s="356"/>
      <c r="AA72" s="99"/>
      <c r="AB72" s="356"/>
      <c r="AC72" s="356"/>
      <c r="AD72" s="356"/>
      <c r="AE72" s="356"/>
      <c r="AF72" s="356"/>
      <c r="AG72" s="99"/>
      <c r="AH72" s="356"/>
    </row>
    <row r="73" spans="1:34" ht="10.8" thickBot="1" x14ac:dyDescent="0.25">
      <c r="A73" s="105">
        <v>1.4</v>
      </c>
      <c r="B73" s="375" t="s">
        <v>16</v>
      </c>
      <c r="C73" s="375"/>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row>
    <row r="74" spans="1:34" ht="10.8" thickBot="1" x14ac:dyDescent="0.25">
      <c r="A74" s="379"/>
      <c r="B74" s="376" t="s">
        <v>17</v>
      </c>
      <c r="C74" s="376"/>
      <c r="D74" s="351" t="s">
        <v>78</v>
      </c>
      <c r="E74" s="355">
        <v>0.01</v>
      </c>
      <c r="F74" s="355">
        <v>0.01</v>
      </c>
      <c r="G74" s="355">
        <v>0.01</v>
      </c>
      <c r="H74" s="355">
        <v>0.01</v>
      </c>
      <c r="I74" s="111"/>
      <c r="J74" s="355">
        <v>0.01</v>
      </c>
      <c r="K74" s="355">
        <v>9.7999999999999997E-3</v>
      </c>
      <c r="L74" s="355">
        <v>9.7999999999999997E-3</v>
      </c>
      <c r="M74" s="355">
        <v>9.7999999999999997E-3</v>
      </c>
      <c r="N74" s="355">
        <v>9.7999999999999997E-3</v>
      </c>
      <c r="O74" s="112"/>
      <c r="P74" s="355">
        <v>9.7999999999999997E-3</v>
      </c>
      <c r="Q74" s="355">
        <v>9.5999999999999992E-3</v>
      </c>
      <c r="R74" s="355">
        <v>9.5999999999999992E-3</v>
      </c>
      <c r="S74" s="355">
        <v>9.5999999999999992E-3</v>
      </c>
      <c r="T74" s="355">
        <v>9.5999999999999992E-3</v>
      </c>
      <c r="U74" s="112"/>
      <c r="V74" s="355">
        <v>9.5999999999999992E-3</v>
      </c>
      <c r="W74" s="355">
        <v>9.4000000000000004E-3</v>
      </c>
      <c r="X74" s="355">
        <v>9.4000000000000004E-3</v>
      </c>
      <c r="Y74" s="355">
        <v>9.4000000000000004E-3</v>
      </c>
      <c r="Z74" s="355">
        <v>9.4000000000000004E-3</v>
      </c>
      <c r="AA74" s="112"/>
      <c r="AB74" s="355">
        <v>9.4000000000000004E-3</v>
      </c>
      <c r="AC74" s="355">
        <v>9.1999999999999998E-3</v>
      </c>
      <c r="AD74" s="355">
        <v>9.1999999999999998E-3</v>
      </c>
      <c r="AE74" s="355">
        <v>9.1999999999999998E-3</v>
      </c>
      <c r="AF74" s="355">
        <v>9.1999999999999998E-3</v>
      </c>
      <c r="AG74" s="112"/>
      <c r="AH74" s="355">
        <v>9.1999999999999998E-3</v>
      </c>
    </row>
    <row r="75" spans="1:34" ht="33.6" customHeight="1" thickBot="1" x14ac:dyDescent="0.25">
      <c r="A75" s="380"/>
      <c r="B75" s="376"/>
      <c r="C75" s="376"/>
      <c r="D75" s="351"/>
      <c r="E75" s="355"/>
      <c r="F75" s="355"/>
      <c r="G75" s="355"/>
      <c r="H75" s="355"/>
      <c r="I75" s="99"/>
      <c r="J75" s="355"/>
      <c r="K75" s="355"/>
      <c r="L75" s="355"/>
      <c r="M75" s="355"/>
      <c r="N75" s="355"/>
      <c r="O75" s="112"/>
      <c r="P75" s="355"/>
      <c r="Q75" s="355"/>
      <c r="R75" s="355"/>
      <c r="S75" s="355"/>
      <c r="T75" s="355"/>
      <c r="U75" s="112"/>
      <c r="V75" s="355"/>
      <c r="W75" s="355"/>
      <c r="X75" s="355"/>
      <c r="Y75" s="355"/>
      <c r="Z75" s="355"/>
      <c r="AA75" s="112"/>
      <c r="AB75" s="355"/>
      <c r="AC75" s="355"/>
      <c r="AD75" s="355"/>
      <c r="AE75" s="355"/>
      <c r="AF75" s="355"/>
      <c r="AG75" s="112"/>
      <c r="AH75" s="355"/>
    </row>
    <row r="76" spans="1:34" ht="34.799999999999997" customHeight="1" thickBot="1" x14ac:dyDescent="0.25">
      <c r="A76" s="380"/>
      <c r="B76" s="386" t="s">
        <v>82</v>
      </c>
      <c r="C76" s="386"/>
      <c r="D76" s="113" t="s">
        <v>78</v>
      </c>
      <c r="E76" s="114">
        <v>0.33</v>
      </c>
      <c r="F76" s="114">
        <v>0.33</v>
      </c>
      <c r="G76" s="114">
        <v>0.33</v>
      </c>
      <c r="H76" s="114">
        <v>0.33</v>
      </c>
      <c r="I76" s="99"/>
      <c r="J76" s="114">
        <v>0.33</v>
      </c>
      <c r="K76" s="114">
        <v>0.33</v>
      </c>
      <c r="L76" s="114">
        <v>0.33</v>
      </c>
      <c r="M76" s="114">
        <v>0.33</v>
      </c>
      <c r="N76" s="114">
        <v>0.33</v>
      </c>
      <c r="O76" s="99"/>
      <c r="P76" s="114">
        <v>0.33</v>
      </c>
      <c r="Q76" s="114">
        <v>0.33</v>
      </c>
      <c r="R76" s="114">
        <v>0.33</v>
      </c>
      <c r="S76" s="114">
        <v>0.33</v>
      </c>
      <c r="T76" s="114">
        <v>0.33</v>
      </c>
      <c r="U76" s="99"/>
      <c r="V76" s="114">
        <v>0.33</v>
      </c>
      <c r="W76" s="114">
        <v>0.33</v>
      </c>
      <c r="X76" s="114">
        <v>0.33</v>
      </c>
      <c r="Y76" s="114">
        <v>0.33</v>
      </c>
      <c r="Z76" s="114">
        <v>0.33</v>
      </c>
      <c r="AA76" s="99"/>
      <c r="AB76" s="114">
        <v>0.33</v>
      </c>
      <c r="AC76" s="114">
        <v>0.33</v>
      </c>
      <c r="AD76" s="114">
        <v>0.33</v>
      </c>
      <c r="AE76" s="114">
        <v>0.33</v>
      </c>
      <c r="AF76" s="114">
        <v>0.33</v>
      </c>
      <c r="AG76" s="99"/>
      <c r="AH76" s="114">
        <v>0.33</v>
      </c>
    </row>
    <row r="77" spans="1:34" ht="25.8" customHeight="1" thickBot="1" x14ac:dyDescent="0.25">
      <c r="A77" s="380"/>
      <c r="B77" s="386" t="s">
        <v>83</v>
      </c>
      <c r="C77" s="386"/>
      <c r="D77" s="113" t="s">
        <v>78</v>
      </c>
      <c r="E77" s="114">
        <v>0.15</v>
      </c>
      <c r="F77" s="114">
        <v>0.15</v>
      </c>
      <c r="G77" s="114">
        <v>0.15</v>
      </c>
      <c r="H77" s="114">
        <v>0.15</v>
      </c>
      <c r="I77" s="99"/>
      <c r="J77" s="114">
        <v>0.15</v>
      </c>
      <c r="K77" s="114">
        <v>0.14000000000000001</v>
      </c>
      <c r="L77" s="114">
        <v>0.14000000000000001</v>
      </c>
      <c r="M77" s="114">
        <v>0.14000000000000001</v>
      </c>
      <c r="N77" s="114">
        <v>0.14000000000000001</v>
      </c>
      <c r="O77" s="99"/>
      <c r="P77" s="114">
        <v>0.14000000000000001</v>
      </c>
      <c r="Q77" s="114">
        <v>0.13</v>
      </c>
      <c r="R77" s="114">
        <v>0.13</v>
      </c>
      <c r="S77" s="114">
        <v>0.13</v>
      </c>
      <c r="T77" s="114">
        <v>0.13</v>
      </c>
      <c r="U77" s="99"/>
      <c r="V77" s="114">
        <v>0.13</v>
      </c>
      <c r="W77" s="114">
        <v>0.12</v>
      </c>
      <c r="X77" s="114">
        <v>0.12</v>
      </c>
      <c r="Y77" s="114">
        <v>0.12</v>
      </c>
      <c r="Z77" s="114">
        <v>0.12</v>
      </c>
      <c r="AA77" s="99"/>
      <c r="AB77" s="114">
        <v>0.12</v>
      </c>
      <c r="AC77" s="114">
        <v>0.1</v>
      </c>
      <c r="AD77" s="114">
        <v>0.1</v>
      </c>
      <c r="AE77" s="114">
        <v>0.1</v>
      </c>
      <c r="AF77" s="114">
        <v>0.1</v>
      </c>
      <c r="AG77" s="99"/>
      <c r="AH77" s="114">
        <v>0.1</v>
      </c>
    </row>
    <row r="78" spans="1:34" ht="34.200000000000003" customHeight="1" thickBot="1" x14ac:dyDescent="0.25">
      <c r="A78" s="380"/>
      <c r="B78" s="376" t="s">
        <v>18</v>
      </c>
      <c r="C78" s="376"/>
      <c r="D78" s="358" t="s">
        <v>78</v>
      </c>
      <c r="E78" s="351">
        <v>0.85</v>
      </c>
      <c r="F78" s="351">
        <v>0.85</v>
      </c>
      <c r="G78" s="351">
        <v>0.85</v>
      </c>
      <c r="H78" s="351">
        <v>0.85</v>
      </c>
      <c r="I78" s="99"/>
      <c r="J78" s="351">
        <v>0.85</v>
      </c>
      <c r="K78" s="351">
        <v>0.85</v>
      </c>
      <c r="L78" s="351">
        <v>0.85</v>
      </c>
      <c r="M78" s="351">
        <v>0.85</v>
      </c>
      <c r="N78" s="351">
        <v>0.85</v>
      </c>
      <c r="O78" s="99"/>
      <c r="P78" s="351">
        <v>0.85</v>
      </c>
      <c r="Q78" s="351">
        <v>0.85</v>
      </c>
      <c r="R78" s="351">
        <v>0.85</v>
      </c>
      <c r="S78" s="351">
        <v>0.85</v>
      </c>
      <c r="T78" s="351">
        <v>0.85</v>
      </c>
      <c r="U78" s="99"/>
      <c r="V78" s="351">
        <v>0.85</v>
      </c>
      <c r="W78" s="351">
        <v>0.85</v>
      </c>
      <c r="X78" s="351">
        <v>0.85</v>
      </c>
      <c r="Y78" s="351">
        <v>0.85</v>
      </c>
      <c r="Z78" s="351">
        <v>0.85</v>
      </c>
      <c r="AA78" s="99"/>
      <c r="AB78" s="351">
        <v>0.85</v>
      </c>
      <c r="AC78" s="351">
        <v>0.85</v>
      </c>
      <c r="AD78" s="351">
        <v>0.85</v>
      </c>
      <c r="AE78" s="351">
        <v>0.85</v>
      </c>
      <c r="AF78" s="351">
        <v>0.85</v>
      </c>
      <c r="AG78" s="99"/>
      <c r="AH78" s="351">
        <v>0.85</v>
      </c>
    </row>
    <row r="79" spans="1:34" ht="10.8" thickBot="1" x14ac:dyDescent="0.25">
      <c r="A79" s="385"/>
      <c r="B79" s="376"/>
      <c r="C79" s="376"/>
      <c r="D79" s="354"/>
      <c r="E79" s="351"/>
      <c r="F79" s="351"/>
      <c r="G79" s="351"/>
      <c r="H79" s="351"/>
      <c r="I79" s="99"/>
      <c r="J79" s="351"/>
      <c r="K79" s="351"/>
      <c r="L79" s="351"/>
      <c r="M79" s="351"/>
      <c r="N79" s="351"/>
      <c r="O79" s="99"/>
      <c r="P79" s="351"/>
      <c r="Q79" s="351"/>
      <c r="R79" s="351"/>
      <c r="S79" s="351"/>
      <c r="T79" s="351"/>
      <c r="U79" s="99"/>
      <c r="V79" s="351"/>
      <c r="W79" s="351"/>
      <c r="X79" s="351"/>
      <c r="Y79" s="351"/>
      <c r="Z79" s="351"/>
      <c r="AA79" s="99"/>
      <c r="AB79" s="351"/>
      <c r="AC79" s="351"/>
      <c r="AD79" s="351"/>
      <c r="AE79" s="351"/>
      <c r="AF79" s="351"/>
      <c r="AG79" s="99"/>
      <c r="AH79" s="351"/>
    </row>
    <row r="80" spans="1:34" ht="10.8" thickBot="1" x14ac:dyDescent="0.25">
      <c r="A80" s="115">
        <v>1.5</v>
      </c>
      <c r="B80" s="365" t="s">
        <v>19</v>
      </c>
      <c r="C80" s="371"/>
      <c r="D80" s="366"/>
      <c r="E80" s="366"/>
      <c r="F80" s="366"/>
      <c r="G80" s="366"/>
      <c r="H80" s="366"/>
      <c r="I80" s="366"/>
      <c r="J80" s="366"/>
      <c r="K80" s="366"/>
      <c r="L80" s="366"/>
      <c r="M80" s="366"/>
      <c r="N80" s="366"/>
      <c r="O80" s="366"/>
      <c r="P80" s="366"/>
      <c r="Q80" s="366"/>
      <c r="R80" s="366"/>
      <c r="S80" s="366"/>
      <c r="T80" s="366"/>
      <c r="U80" s="366"/>
      <c r="V80" s="366"/>
      <c r="W80" s="366"/>
      <c r="X80" s="366"/>
      <c r="Y80" s="366"/>
      <c r="Z80" s="366"/>
      <c r="AA80" s="366"/>
      <c r="AB80" s="366"/>
      <c r="AC80" s="366"/>
      <c r="AD80" s="366"/>
      <c r="AE80" s="366"/>
      <c r="AF80" s="366"/>
      <c r="AG80" s="366"/>
      <c r="AH80" s="367"/>
    </row>
    <row r="81" spans="1:34" ht="10.8" thickBot="1" x14ac:dyDescent="0.25">
      <c r="A81" s="116" t="s">
        <v>41</v>
      </c>
      <c r="B81" s="375" t="s">
        <v>20</v>
      </c>
      <c r="C81" s="375"/>
      <c r="D81" s="106"/>
      <c r="E81" s="106"/>
      <c r="F81" s="106"/>
      <c r="G81" s="106"/>
      <c r="H81" s="106"/>
      <c r="I81" s="117"/>
      <c r="J81" s="117"/>
      <c r="K81" s="106"/>
      <c r="L81" s="106"/>
      <c r="M81" s="106"/>
      <c r="N81" s="106"/>
      <c r="O81" s="117"/>
      <c r="P81" s="117"/>
      <c r="Q81" s="106"/>
      <c r="R81" s="106"/>
      <c r="S81" s="106"/>
      <c r="T81" s="106"/>
      <c r="U81" s="117"/>
      <c r="V81" s="117"/>
      <c r="W81" s="106"/>
      <c r="X81" s="106"/>
      <c r="Y81" s="106"/>
      <c r="Z81" s="106"/>
      <c r="AA81" s="117"/>
      <c r="AB81" s="117"/>
      <c r="AC81" s="106"/>
      <c r="AD81" s="106"/>
      <c r="AE81" s="106"/>
      <c r="AF81" s="106"/>
      <c r="AG81" s="117"/>
      <c r="AH81" s="117"/>
    </row>
    <row r="82" spans="1:34" ht="48" customHeight="1" thickBot="1" x14ac:dyDescent="0.25">
      <c r="A82" s="379"/>
      <c r="B82" s="118" t="s">
        <v>95</v>
      </c>
      <c r="C82" s="119"/>
      <c r="D82" s="109" t="s">
        <v>135</v>
      </c>
      <c r="E82" s="120">
        <v>37</v>
      </c>
      <c r="F82" s="120">
        <v>37</v>
      </c>
      <c r="G82" s="120">
        <v>37</v>
      </c>
      <c r="H82" s="120">
        <v>39</v>
      </c>
      <c r="I82" s="120"/>
      <c r="J82" s="120">
        <v>150</v>
      </c>
      <c r="K82" s="120">
        <v>37</v>
      </c>
      <c r="L82" s="120">
        <v>37</v>
      </c>
      <c r="M82" s="120">
        <v>37</v>
      </c>
      <c r="N82" s="120">
        <v>39</v>
      </c>
      <c r="O82" s="121"/>
      <c r="P82" s="120">
        <v>150</v>
      </c>
      <c r="Q82" s="120">
        <v>37</v>
      </c>
      <c r="R82" s="120">
        <v>37</v>
      </c>
      <c r="S82" s="120">
        <v>37</v>
      </c>
      <c r="T82" s="120">
        <v>39</v>
      </c>
      <c r="U82" s="120"/>
      <c r="V82" s="120">
        <v>150</v>
      </c>
      <c r="W82" s="120">
        <v>37</v>
      </c>
      <c r="X82" s="120">
        <v>37</v>
      </c>
      <c r="Y82" s="120">
        <v>37</v>
      </c>
      <c r="Z82" s="120">
        <v>39</v>
      </c>
      <c r="AA82" s="121"/>
      <c r="AB82" s="120">
        <v>150</v>
      </c>
      <c r="AC82" s="120">
        <v>37</v>
      </c>
      <c r="AD82" s="120">
        <v>37</v>
      </c>
      <c r="AE82" s="120">
        <v>37</v>
      </c>
      <c r="AF82" s="120">
        <v>39</v>
      </c>
      <c r="AG82" s="120"/>
      <c r="AH82" s="120">
        <v>150</v>
      </c>
    </row>
    <row r="83" spans="1:34" ht="15.75" customHeight="1" thickBot="1" x14ac:dyDescent="0.25">
      <c r="A83" s="380"/>
      <c r="B83" s="376" t="s">
        <v>84</v>
      </c>
      <c r="C83" s="357" t="s">
        <v>6</v>
      </c>
      <c r="D83" s="358" t="s">
        <v>78</v>
      </c>
      <c r="E83" s="351">
        <v>0.5</v>
      </c>
      <c r="F83" s="351">
        <v>0.5</v>
      </c>
      <c r="G83" s="351">
        <v>0.5</v>
      </c>
      <c r="H83" s="351">
        <v>0.5</v>
      </c>
      <c r="I83" s="111"/>
      <c r="J83" s="351">
        <v>0.5</v>
      </c>
      <c r="K83" s="351">
        <v>0.49</v>
      </c>
      <c r="L83" s="351">
        <v>0.49</v>
      </c>
      <c r="M83" s="351">
        <v>0.49</v>
      </c>
      <c r="N83" s="351">
        <v>0.49</v>
      </c>
      <c r="O83" s="111"/>
      <c r="P83" s="351">
        <v>0.49</v>
      </c>
      <c r="Q83" s="351">
        <v>0.48</v>
      </c>
      <c r="R83" s="351">
        <v>0.48</v>
      </c>
      <c r="S83" s="351">
        <v>0.48</v>
      </c>
      <c r="T83" s="351">
        <v>0.48</v>
      </c>
      <c r="U83" s="111"/>
      <c r="V83" s="351">
        <v>0.48</v>
      </c>
      <c r="W83" s="351">
        <v>0.47</v>
      </c>
      <c r="X83" s="351">
        <v>0.47</v>
      </c>
      <c r="Y83" s="351">
        <v>0.47</v>
      </c>
      <c r="Z83" s="351">
        <v>0.47</v>
      </c>
      <c r="AA83" s="109"/>
      <c r="AB83" s="351">
        <v>0.47</v>
      </c>
      <c r="AC83" s="351">
        <v>0.45</v>
      </c>
      <c r="AD83" s="351">
        <v>0.45</v>
      </c>
      <c r="AE83" s="351">
        <v>0.45</v>
      </c>
      <c r="AF83" s="351">
        <v>0.45</v>
      </c>
      <c r="AG83" s="111"/>
      <c r="AH83" s="351">
        <v>0.45</v>
      </c>
    </row>
    <row r="84" spans="1:34" ht="15.75" customHeight="1" thickBot="1" x14ac:dyDescent="0.25">
      <c r="A84" s="380"/>
      <c r="B84" s="376"/>
      <c r="C84" s="357"/>
      <c r="D84" s="354"/>
      <c r="E84" s="351"/>
      <c r="F84" s="351"/>
      <c r="G84" s="351"/>
      <c r="H84" s="351"/>
      <c r="I84" s="111"/>
      <c r="J84" s="351"/>
      <c r="K84" s="351"/>
      <c r="L84" s="351"/>
      <c r="M84" s="351"/>
      <c r="N84" s="351"/>
      <c r="O84" s="111"/>
      <c r="P84" s="351"/>
      <c r="Q84" s="351"/>
      <c r="R84" s="351"/>
      <c r="S84" s="351"/>
      <c r="T84" s="351"/>
      <c r="U84" s="111"/>
      <c r="V84" s="351"/>
      <c r="W84" s="351"/>
      <c r="X84" s="351"/>
      <c r="Y84" s="351"/>
      <c r="Z84" s="351"/>
      <c r="AA84" s="109"/>
      <c r="AB84" s="351"/>
      <c r="AC84" s="351"/>
      <c r="AD84" s="351"/>
      <c r="AE84" s="351"/>
      <c r="AF84" s="351"/>
      <c r="AG84" s="111"/>
      <c r="AH84" s="351"/>
    </row>
    <row r="85" spans="1:34" ht="10.8" thickBot="1" x14ac:dyDescent="0.25">
      <c r="A85" s="380"/>
      <c r="B85" s="376"/>
      <c r="C85" s="357" t="s">
        <v>7</v>
      </c>
      <c r="D85" s="358" t="s">
        <v>78</v>
      </c>
      <c r="E85" s="351">
        <v>0.25</v>
      </c>
      <c r="F85" s="351">
        <v>0.25</v>
      </c>
      <c r="G85" s="351">
        <v>0.25</v>
      </c>
      <c r="H85" s="351">
        <v>0.25</v>
      </c>
      <c r="I85" s="111"/>
      <c r="J85" s="351">
        <v>0.25</v>
      </c>
      <c r="K85" s="351">
        <v>0.24</v>
      </c>
      <c r="L85" s="351">
        <v>0.24</v>
      </c>
      <c r="M85" s="351">
        <v>0.24</v>
      </c>
      <c r="N85" s="351">
        <v>0.24</v>
      </c>
      <c r="O85" s="111"/>
      <c r="P85" s="351">
        <v>0.24</v>
      </c>
      <c r="Q85" s="351">
        <v>0.23</v>
      </c>
      <c r="R85" s="351">
        <v>0.23</v>
      </c>
      <c r="S85" s="351">
        <v>0.23</v>
      </c>
      <c r="T85" s="351">
        <v>0.23</v>
      </c>
      <c r="U85" s="111"/>
      <c r="V85" s="351">
        <v>0.23</v>
      </c>
      <c r="W85" s="351">
        <v>0.22</v>
      </c>
      <c r="X85" s="351">
        <v>0.22</v>
      </c>
      <c r="Y85" s="351">
        <v>0.22</v>
      </c>
      <c r="Z85" s="351">
        <v>0.22</v>
      </c>
      <c r="AA85" s="109"/>
      <c r="AB85" s="351">
        <v>0.22</v>
      </c>
      <c r="AC85" s="351">
        <v>0.2</v>
      </c>
      <c r="AD85" s="351">
        <v>0.2</v>
      </c>
      <c r="AE85" s="351">
        <v>0.2</v>
      </c>
      <c r="AF85" s="351">
        <v>0.2</v>
      </c>
      <c r="AG85" s="111"/>
      <c r="AH85" s="351">
        <v>0.2</v>
      </c>
    </row>
    <row r="86" spans="1:34" ht="10.8" thickBot="1" x14ac:dyDescent="0.25">
      <c r="A86" s="380"/>
      <c r="B86" s="376"/>
      <c r="C86" s="357"/>
      <c r="D86" s="354"/>
      <c r="E86" s="351"/>
      <c r="F86" s="351"/>
      <c r="G86" s="351"/>
      <c r="H86" s="351"/>
      <c r="I86" s="111"/>
      <c r="J86" s="351"/>
      <c r="K86" s="351"/>
      <c r="L86" s="351"/>
      <c r="M86" s="351"/>
      <c r="N86" s="351"/>
      <c r="O86" s="111"/>
      <c r="P86" s="351"/>
      <c r="Q86" s="351"/>
      <c r="R86" s="351"/>
      <c r="S86" s="351"/>
      <c r="T86" s="351"/>
      <c r="U86" s="111"/>
      <c r="V86" s="351"/>
      <c r="W86" s="351"/>
      <c r="X86" s="351"/>
      <c r="Y86" s="351"/>
      <c r="Z86" s="351"/>
      <c r="AA86" s="109"/>
      <c r="AB86" s="351"/>
      <c r="AC86" s="351"/>
      <c r="AD86" s="351"/>
      <c r="AE86" s="351"/>
      <c r="AF86" s="351"/>
      <c r="AG86" s="111"/>
      <c r="AH86" s="351"/>
    </row>
    <row r="87" spans="1:34" ht="10.8" thickBot="1" x14ac:dyDescent="0.25">
      <c r="A87" s="380"/>
      <c r="B87" s="376"/>
      <c r="C87" s="357" t="s">
        <v>8</v>
      </c>
      <c r="D87" s="358" t="s">
        <v>78</v>
      </c>
      <c r="E87" s="351">
        <v>0.3</v>
      </c>
      <c r="F87" s="351">
        <v>0.3</v>
      </c>
      <c r="G87" s="351">
        <v>0.3</v>
      </c>
      <c r="H87" s="351">
        <v>0.3</v>
      </c>
      <c r="I87" s="111"/>
      <c r="J87" s="351">
        <v>0.3</v>
      </c>
      <c r="K87" s="351">
        <v>0.28999999999999998</v>
      </c>
      <c r="L87" s="351">
        <v>0.28999999999999998</v>
      </c>
      <c r="M87" s="351">
        <v>0.28999999999999998</v>
      </c>
      <c r="N87" s="351">
        <v>0.28999999999999998</v>
      </c>
      <c r="O87" s="111"/>
      <c r="P87" s="351">
        <v>0.28999999999999998</v>
      </c>
      <c r="Q87" s="351">
        <v>0.28000000000000003</v>
      </c>
      <c r="R87" s="351">
        <v>0.28000000000000003</v>
      </c>
      <c r="S87" s="351">
        <v>0.28000000000000003</v>
      </c>
      <c r="T87" s="351">
        <v>0.28000000000000003</v>
      </c>
      <c r="U87" s="111"/>
      <c r="V87" s="351">
        <v>0.28000000000000003</v>
      </c>
      <c r="W87" s="351">
        <v>0.27</v>
      </c>
      <c r="X87" s="351">
        <v>0.27</v>
      </c>
      <c r="Y87" s="351">
        <v>0.27</v>
      </c>
      <c r="Z87" s="351">
        <v>0.27</v>
      </c>
      <c r="AA87" s="109"/>
      <c r="AB87" s="351">
        <v>0.27</v>
      </c>
      <c r="AC87" s="351">
        <v>0.25</v>
      </c>
      <c r="AD87" s="351">
        <v>0.25</v>
      </c>
      <c r="AE87" s="351">
        <v>0.25</v>
      </c>
      <c r="AF87" s="351">
        <v>0.25</v>
      </c>
      <c r="AG87" s="111"/>
      <c r="AH87" s="351">
        <v>0.25</v>
      </c>
    </row>
    <row r="88" spans="1:34" ht="10.8" thickBot="1" x14ac:dyDescent="0.25">
      <c r="A88" s="380"/>
      <c r="B88" s="376"/>
      <c r="C88" s="357"/>
      <c r="D88" s="354"/>
      <c r="E88" s="351"/>
      <c r="F88" s="351"/>
      <c r="G88" s="351"/>
      <c r="H88" s="351"/>
      <c r="I88" s="111"/>
      <c r="J88" s="351"/>
      <c r="K88" s="351"/>
      <c r="L88" s="351"/>
      <c r="M88" s="351"/>
      <c r="N88" s="351"/>
      <c r="O88" s="111"/>
      <c r="P88" s="351"/>
      <c r="Q88" s="351"/>
      <c r="R88" s="351"/>
      <c r="S88" s="351"/>
      <c r="T88" s="351"/>
      <c r="U88" s="111"/>
      <c r="V88" s="351"/>
      <c r="W88" s="351"/>
      <c r="X88" s="351"/>
      <c r="Y88" s="351"/>
      <c r="Z88" s="351"/>
      <c r="AA88" s="109"/>
      <c r="AB88" s="351"/>
      <c r="AC88" s="351"/>
      <c r="AD88" s="351"/>
      <c r="AE88" s="351"/>
      <c r="AF88" s="351"/>
      <c r="AG88" s="111"/>
      <c r="AH88" s="351"/>
    </row>
    <row r="89" spans="1:34" ht="10.8" thickBot="1" x14ac:dyDescent="0.25">
      <c r="A89" s="380"/>
      <c r="B89" s="376" t="s">
        <v>96</v>
      </c>
      <c r="C89" s="357" t="s">
        <v>6</v>
      </c>
      <c r="D89" s="358" t="s">
        <v>78</v>
      </c>
      <c r="E89" s="351">
        <v>0.25</v>
      </c>
      <c r="F89" s="351">
        <v>0.25</v>
      </c>
      <c r="G89" s="351">
        <v>0.25</v>
      </c>
      <c r="H89" s="351">
        <v>0.25</v>
      </c>
      <c r="I89" s="111"/>
      <c r="J89" s="351">
        <v>0.25</v>
      </c>
      <c r="K89" s="351">
        <v>0.24</v>
      </c>
      <c r="L89" s="351">
        <v>0.24</v>
      </c>
      <c r="M89" s="351">
        <v>0.24</v>
      </c>
      <c r="N89" s="351">
        <v>0.24</v>
      </c>
      <c r="O89" s="111"/>
      <c r="P89" s="351">
        <v>0.24</v>
      </c>
      <c r="Q89" s="351">
        <v>0.23</v>
      </c>
      <c r="R89" s="351">
        <v>0.23</v>
      </c>
      <c r="S89" s="351">
        <v>0.23</v>
      </c>
      <c r="T89" s="351">
        <v>0.23</v>
      </c>
      <c r="U89" s="111"/>
      <c r="V89" s="351">
        <v>0.23</v>
      </c>
      <c r="W89" s="351">
        <v>0.22</v>
      </c>
      <c r="X89" s="351">
        <v>0.22</v>
      </c>
      <c r="Y89" s="351">
        <v>0.22</v>
      </c>
      <c r="Z89" s="351">
        <v>0.22</v>
      </c>
      <c r="AA89" s="109"/>
      <c r="AB89" s="351">
        <v>0.22</v>
      </c>
      <c r="AC89" s="351">
        <v>0.2</v>
      </c>
      <c r="AD89" s="351">
        <v>0.2</v>
      </c>
      <c r="AE89" s="351">
        <v>0.2</v>
      </c>
      <c r="AF89" s="351">
        <v>0.2</v>
      </c>
      <c r="AG89" s="111"/>
      <c r="AH89" s="351">
        <v>0.2</v>
      </c>
    </row>
    <row r="90" spans="1:34" ht="15.75" customHeight="1" thickBot="1" x14ac:dyDescent="0.25">
      <c r="A90" s="380"/>
      <c r="B90" s="384"/>
      <c r="C90" s="369"/>
      <c r="D90" s="354"/>
      <c r="E90" s="351"/>
      <c r="F90" s="351"/>
      <c r="G90" s="351"/>
      <c r="H90" s="351"/>
      <c r="I90" s="111"/>
      <c r="J90" s="351"/>
      <c r="K90" s="351"/>
      <c r="L90" s="351"/>
      <c r="M90" s="351"/>
      <c r="N90" s="351"/>
      <c r="O90" s="111"/>
      <c r="P90" s="351"/>
      <c r="Q90" s="351"/>
      <c r="R90" s="351"/>
      <c r="S90" s="351"/>
      <c r="T90" s="351"/>
      <c r="U90" s="111"/>
      <c r="V90" s="351"/>
      <c r="W90" s="351"/>
      <c r="X90" s="351"/>
      <c r="Y90" s="351"/>
      <c r="Z90" s="351"/>
      <c r="AA90" s="109"/>
      <c r="AB90" s="351"/>
      <c r="AC90" s="351"/>
      <c r="AD90" s="351"/>
      <c r="AE90" s="351"/>
      <c r="AF90" s="351"/>
      <c r="AG90" s="111"/>
      <c r="AH90" s="351"/>
    </row>
    <row r="91" spans="1:34" ht="10.8" thickBot="1" x14ac:dyDescent="0.25">
      <c r="A91" s="380"/>
      <c r="B91" s="384"/>
      <c r="C91" s="357" t="s">
        <v>7</v>
      </c>
      <c r="D91" s="358" t="s">
        <v>78</v>
      </c>
      <c r="E91" s="351">
        <v>0.25</v>
      </c>
      <c r="F91" s="351">
        <v>0.25</v>
      </c>
      <c r="G91" s="351">
        <v>0.25</v>
      </c>
      <c r="H91" s="351">
        <v>0.25</v>
      </c>
      <c r="I91" s="111"/>
      <c r="J91" s="351">
        <v>0.25</v>
      </c>
      <c r="K91" s="351">
        <v>0.24</v>
      </c>
      <c r="L91" s="351">
        <v>0.24</v>
      </c>
      <c r="M91" s="351">
        <v>0.24</v>
      </c>
      <c r="N91" s="351">
        <v>0.24</v>
      </c>
      <c r="O91" s="111"/>
      <c r="P91" s="351">
        <v>0.24</v>
      </c>
      <c r="Q91" s="351">
        <v>0.23</v>
      </c>
      <c r="R91" s="351">
        <v>0.23</v>
      </c>
      <c r="S91" s="351">
        <v>0.23</v>
      </c>
      <c r="T91" s="351">
        <v>0.23</v>
      </c>
      <c r="U91" s="111"/>
      <c r="V91" s="351">
        <v>0.23</v>
      </c>
      <c r="W91" s="351">
        <v>0.22</v>
      </c>
      <c r="X91" s="351">
        <v>0.22</v>
      </c>
      <c r="Y91" s="351">
        <v>0.22</v>
      </c>
      <c r="Z91" s="351">
        <v>0.22</v>
      </c>
      <c r="AA91" s="109"/>
      <c r="AB91" s="351">
        <v>0.22</v>
      </c>
      <c r="AC91" s="351">
        <v>0.2</v>
      </c>
      <c r="AD91" s="351">
        <v>0.2</v>
      </c>
      <c r="AE91" s="351">
        <v>0.2</v>
      </c>
      <c r="AF91" s="351">
        <v>0.2</v>
      </c>
      <c r="AG91" s="111"/>
      <c r="AH91" s="351">
        <v>0.2</v>
      </c>
    </row>
    <row r="92" spans="1:34" ht="10.8" thickBot="1" x14ac:dyDescent="0.25">
      <c r="A92" s="380"/>
      <c r="B92" s="384"/>
      <c r="C92" s="369"/>
      <c r="D92" s="354"/>
      <c r="E92" s="351"/>
      <c r="F92" s="351"/>
      <c r="G92" s="351"/>
      <c r="H92" s="351"/>
      <c r="I92" s="111"/>
      <c r="J92" s="351"/>
      <c r="K92" s="351"/>
      <c r="L92" s="351"/>
      <c r="M92" s="351"/>
      <c r="N92" s="351"/>
      <c r="O92" s="111"/>
      <c r="P92" s="351"/>
      <c r="Q92" s="351"/>
      <c r="R92" s="351"/>
      <c r="S92" s="351"/>
      <c r="T92" s="351"/>
      <c r="U92" s="111"/>
      <c r="V92" s="351"/>
      <c r="W92" s="351"/>
      <c r="X92" s="351"/>
      <c r="Y92" s="351"/>
      <c r="Z92" s="351"/>
      <c r="AA92" s="109"/>
      <c r="AB92" s="351"/>
      <c r="AC92" s="351"/>
      <c r="AD92" s="351"/>
      <c r="AE92" s="351"/>
      <c r="AF92" s="351"/>
      <c r="AG92" s="111"/>
      <c r="AH92" s="351"/>
    </row>
    <row r="93" spans="1:34" ht="10.8" thickBot="1" x14ac:dyDescent="0.25">
      <c r="A93" s="380"/>
      <c r="B93" s="384"/>
      <c r="C93" s="357" t="s">
        <v>8</v>
      </c>
      <c r="D93" s="358" t="s">
        <v>78</v>
      </c>
      <c r="E93" s="351">
        <v>0.25</v>
      </c>
      <c r="F93" s="351">
        <v>0.25</v>
      </c>
      <c r="G93" s="351">
        <v>0.25</v>
      </c>
      <c r="H93" s="351">
        <v>0.25</v>
      </c>
      <c r="I93" s="111"/>
      <c r="J93" s="351">
        <v>0.25</v>
      </c>
      <c r="K93" s="351">
        <v>0.24</v>
      </c>
      <c r="L93" s="351">
        <v>0.24</v>
      </c>
      <c r="M93" s="351">
        <v>0.24</v>
      </c>
      <c r="N93" s="351">
        <v>0.24</v>
      </c>
      <c r="O93" s="111"/>
      <c r="P93" s="351">
        <v>0.24</v>
      </c>
      <c r="Q93" s="351">
        <v>0.23</v>
      </c>
      <c r="R93" s="351">
        <v>0.23</v>
      </c>
      <c r="S93" s="351">
        <v>0.23</v>
      </c>
      <c r="T93" s="351">
        <v>0.23</v>
      </c>
      <c r="U93" s="111"/>
      <c r="V93" s="351">
        <v>0.23</v>
      </c>
      <c r="W93" s="351">
        <v>0.22</v>
      </c>
      <c r="X93" s="351">
        <v>0.22</v>
      </c>
      <c r="Y93" s="351">
        <v>0.22</v>
      </c>
      <c r="Z93" s="351">
        <v>0.22</v>
      </c>
      <c r="AA93" s="109"/>
      <c r="AB93" s="351">
        <v>0.22</v>
      </c>
      <c r="AC93" s="351">
        <v>0.2</v>
      </c>
      <c r="AD93" s="351">
        <v>0.2</v>
      </c>
      <c r="AE93" s="351">
        <v>0.2</v>
      </c>
      <c r="AF93" s="351">
        <v>0.2</v>
      </c>
      <c r="AG93" s="111"/>
      <c r="AH93" s="351">
        <v>0.2</v>
      </c>
    </row>
    <row r="94" spans="1:34" ht="10.8" thickBot="1" x14ac:dyDescent="0.25">
      <c r="A94" s="380"/>
      <c r="B94" s="384"/>
      <c r="C94" s="369"/>
      <c r="D94" s="354"/>
      <c r="E94" s="351"/>
      <c r="F94" s="351"/>
      <c r="G94" s="351"/>
      <c r="H94" s="351"/>
      <c r="I94" s="111"/>
      <c r="J94" s="351"/>
      <c r="K94" s="351"/>
      <c r="L94" s="351"/>
      <c r="M94" s="351"/>
      <c r="N94" s="351"/>
      <c r="O94" s="111"/>
      <c r="P94" s="351"/>
      <c r="Q94" s="351"/>
      <c r="R94" s="351"/>
      <c r="S94" s="351"/>
      <c r="T94" s="351"/>
      <c r="U94" s="111"/>
      <c r="V94" s="351"/>
      <c r="W94" s="351"/>
      <c r="X94" s="351"/>
      <c r="Y94" s="351"/>
      <c r="Z94" s="351"/>
      <c r="AA94" s="109"/>
      <c r="AB94" s="351"/>
      <c r="AC94" s="351"/>
      <c r="AD94" s="351"/>
      <c r="AE94" s="351"/>
      <c r="AF94" s="351"/>
      <c r="AG94" s="111"/>
      <c r="AH94" s="351"/>
    </row>
    <row r="95" spans="1:34" ht="38.25" customHeight="1" thickBot="1" x14ac:dyDescent="0.25">
      <c r="A95" s="380"/>
      <c r="B95" s="376" t="s">
        <v>97</v>
      </c>
      <c r="C95" s="403"/>
      <c r="D95" s="109" t="s">
        <v>135</v>
      </c>
      <c r="E95" s="138">
        <v>241</v>
      </c>
      <c r="F95" s="138">
        <v>241</v>
      </c>
      <c r="G95" s="138">
        <v>241</v>
      </c>
      <c r="H95" s="138">
        <v>242</v>
      </c>
      <c r="I95" s="120"/>
      <c r="J95" s="120">
        <v>965</v>
      </c>
      <c r="K95" s="120">
        <v>240</v>
      </c>
      <c r="L95" s="120">
        <v>240</v>
      </c>
      <c r="M95" s="120">
        <v>240</v>
      </c>
      <c r="N95" s="120">
        <v>240</v>
      </c>
      <c r="O95" s="120"/>
      <c r="P95" s="120">
        <v>960</v>
      </c>
      <c r="Q95" s="138">
        <v>237</v>
      </c>
      <c r="R95" s="138">
        <v>237</v>
      </c>
      <c r="S95" s="138">
        <v>237</v>
      </c>
      <c r="T95" s="138">
        <v>239</v>
      </c>
      <c r="U95" s="120"/>
      <c r="V95" s="120">
        <v>950</v>
      </c>
      <c r="W95" s="138">
        <v>235</v>
      </c>
      <c r="X95" s="138">
        <v>235</v>
      </c>
      <c r="Y95" s="138">
        <v>235</v>
      </c>
      <c r="Z95" s="138">
        <v>235</v>
      </c>
      <c r="AA95" s="138"/>
      <c r="AB95" s="120">
        <v>940</v>
      </c>
      <c r="AC95" s="138">
        <v>225</v>
      </c>
      <c r="AD95" s="138">
        <v>225</v>
      </c>
      <c r="AE95" s="138">
        <v>225</v>
      </c>
      <c r="AF95" s="138">
        <v>225</v>
      </c>
      <c r="AG95" s="120"/>
      <c r="AH95" s="120">
        <v>900</v>
      </c>
    </row>
    <row r="96" spans="1:34" ht="15.75" customHeight="1" thickBot="1" x14ac:dyDescent="0.25">
      <c r="A96" s="380"/>
      <c r="B96" s="376" t="s">
        <v>85</v>
      </c>
      <c r="C96" s="357" t="s">
        <v>6</v>
      </c>
      <c r="D96" s="358" t="s">
        <v>78</v>
      </c>
      <c r="E96" s="351">
        <v>0.5</v>
      </c>
      <c r="F96" s="351">
        <v>0.5</v>
      </c>
      <c r="G96" s="351">
        <v>0.5</v>
      </c>
      <c r="H96" s="351">
        <v>0.5</v>
      </c>
      <c r="I96" s="111"/>
      <c r="J96" s="351">
        <v>0.5</v>
      </c>
      <c r="K96" s="351">
        <v>0.49</v>
      </c>
      <c r="L96" s="351">
        <v>0.49</v>
      </c>
      <c r="M96" s="351">
        <v>0.49</v>
      </c>
      <c r="N96" s="351">
        <v>0.49</v>
      </c>
      <c r="O96" s="111"/>
      <c r="P96" s="351">
        <v>0.49</v>
      </c>
      <c r="Q96" s="351">
        <v>0.48</v>
      </c>
      <c r="R96" s="351">
        <v>0.48</v>
      </c>
      <c r="S96" s="351">
        <v>0.48</v>
      </c>
      <c r="T96" s="351">
        <v>0.48</v>
      </c>
      <c r="U96" s="111"/>
      <c r="V96" s="351">
        <v>0.48</v>
      </c>
      <c r="W96" s="351">
        <v>0.47</v>
      </c>
      <c r="X96" s="351">
        <v>0.47</v>
      </c>
      <c r="Y96" s="351">
        <v>0.47</v>
      </c>
      <c r="Z96" s="351">
        <v>0.47</v>
      </c>
      <c r="AA96" s="109"/>
      <c r="AB96" s="351">
        <v>0.47</v>
      </c>
      <c r="AC96" s="351">
        <v>0.45</v>
      </c>
      <c r="AD96" s="351">
        <v>0.45</v>
      </c>
      <c r="AE96" s="351">
        <v>0.45</v>
      </c>
      <c r="AF96" s="351">
        <v>0.45</v>
      </c>
      <c r="AG96" s="111"/>
      <c r="AH96" s="351">
        <v>0.45</v>
      </c>
    </row>
    <row r="97" spans="1:34" ht="15.75" customHeight="1" thickBot="1" x14ac:dyDescent="0.25">
      <c r="A97" s="380"/>
      <c r="B97" s="376"/>
      <c r="C97" s="357"/>
      <c r="D97" s="354"/>
      <c r="E97" s="351"/>
      <c r="F97" s="351"/>
      <c r="G97" s="351"/>
      <c r="H97" s="351"/>
      <c r="I97" s="111"/>
      <c r="J97" s="351"/>
      <c r="K97" s="351"/>
      <c r="L97" s="351"/>
      <c r="M97" s="351"/>
      <c r="N97" s="351"/>
      <c r="O97" s="111"/>
      <c r="P97" s="351"/>
      <c r="Q97" s="351"/>
      <c r="R97" s="351"/>
      <c r="S97" s="351"/>
      <c r="T97" s="351"/>
      <c r="U97" s="111"/>
      <c r="V97" s="351"/>
      <c r="W97" s="351"/>
      <c r="X97" s="351"/>
      <c r="Y97" s="351"/>
      <c r="Z97" s="351"/>
      <c r="AA97" s="109"/>
      <c r="AB97" s="351"/>
      <c r="AC97" s="351"/>
      <c r="AD97" s="351"/>
      <c r="AE97" s="351"/>
      <c r="AF97" s="351"/>
      <c r="AG97" s="111"/>
      <c r="AH97" s="351"/>
    </row>
    <row r="98" spans="1:34" ht="15.75" customHeight="1" thickBot="1" x14ac:dyDescent="0.25">
      <c r="A98" s="380"/>
      <c r="B98" s="376"/>
      <c r="C98" s="357" t="s">
        <v>7</v>
      </c>
      <c r="D98" s="358" t="s">
        <v>78</v>
      </c>
      <c r="E98" s="351">
        <v>0.25</v>
      </c>
      <c r="F98" s="351">
        <v>0.25</v>
      </c>
      <c r="G98" s="351">
        <v>0.25</v>
      </c>
      <c r="H98" s="351">
        <v>0.25</v>
      </c>
      <c r="I98" s="111"/>
      <c r="J98" s="351">
        <v>0.25</v>
      </c>
      <c r="K98" s="351">
        <v>0.24</v>
      </c>
      <c r="L98" s="351">
        <v>0.24</v>
      </c>
      <c r="M98" s="351">
        <v>0.24</v>
      </c>
      <c r="N98" s="351">
        <v>0.24</v>
      </c>
      <c r="O98" s="111"/>
      <c r="P98" s="351">
        <v>0.24</v>
      </c>
      <c r="Q98" s="351">
        <v>0.23</v>
      </c>
      <c r="R98" s="351">
        <v>0.23</v>
      </c>
      <c r="S98" s="351">
        <v>0.23</v>
      </c>
      <c r="T98" s="351">
        <v>0.23</v>
      </c>
      <c r="U98" s="111"/>
      <c r="V98" s="351">
        <v>0.23</v>
      </c>
      <c r="W98" s="351">
        <v>0.22</v>
      </c>
      <c r="X98" s="351">
        <v>0.22</v>
      </c>
      <c r="Y98" s="351">
        <v>0.22</v>
      </c>
      <c r="Z98" s="351">
        <v>0.22</v>
      </c>
      <c r="AA98" s="109"/>
      <c r="AB98" s="351">
        <v>0.22</v>
      </c>
      <c r="AC98" s="351">
        <v>0.2</v>
      </c>
      <c r="AD98" s="351">
        <v>0.2</v>
      </c>
      <c r="AE98" s="351">
        <v>0.2</v>
      </c>
      <c r="AF98" s="351">
        <v>0.2</v>
      </c>
      <c r="AG98" s="111"/>
      <c r="AH98" s="351">
        <v>0.2</v>
      </c>
    </row>
    <row r="99" spans="1:34" ht="15.75" customHeight="1" thickBot="1" x14ac:dyDescent="0.25">
      <c r="A99" s="380"/>
      <c r="B99" s="376"/>
      <c r="C99" s="357"/>
      <c r="D99" s="354"/>
      <c r="E99" s="351"/>
      <c r="F99" s="351"/>
      <c r="G99" s="351"/>
      <c r="H99" s="351"/>
      <c r="I99" s="111"/>
      <c r="J99" s="351"/>
      <c r="K99" s="351"/>
      <c r="L99" s="351"/>
      <c r="M99" s="351"/>
      <c r="N99" s="351"/>
      <c r="O99" s="111"/>
      <c r="P99" s="351"/>
      <c r="Q99" s="351"/>
      <c r="R99" s="351"/>
      <c r="S99" s="351"/>
      <c r="T99" s="351"/>
      <c r="U99" s="111"/>
      <c r="V99" s="351"/>
      <c r="W99" s="351"/>
      <c r="X99" s="351"/>
      <c r="Y99" s="351"/>
      <c r="Z99" s="351"/>
      <c r="AA99" s="109"/>
      <c r="AB99" s="351"/>
      <c r="AC99" s="351"/>
      <c r="AD99" s="351"/>
      <c r="AE99" s="351"/>
      <c r="AF99" s="351"/>
      <c r="AG99" s="111"/>
      <c r="AH99" s="351"/>
    </row>
    <row r="100" spans="1:34" ht="15.75" customHeight="1" thickBot="1" x14ac:dyDescent="0.25">
      <c r="A100" s="380"/>
      <c r="B100" s="376"/>
      <c r="C100" s="357" t="s">
        <v>8</v>
      </c>
      <c r="D100" s="358" t="s">
        <v>78</v>
      </c>
      <c r="E100" s="351">
        <v>0.3</v>
      </c>
      <c r="F100" s="351">
        <v>0.3</v>
      </c>
      <c r="G100" s="351">
        <v>0.3</v>
      </c>
      <c r="H100" s="351">
        <v>0.3</v>
      </c>
      <c r="I100" s="111"/>
      <c r="J100" s="351">
        <v>0.3</v>
      </c>
      <c r="K100" s="351">
        <v>0.28999999999999998</v>
      </c>
      <c r="L100" s="351">
        <v>0.28999999999999998</v>
      </c>
      <c r="M100" s="351">
        <v>0.28999999999999998</v>
      </c>
      <c r="N100" s="351">
        <v>0.28999999999999998</v>
      </c>
      <c r="O100" s="111"/>
      <c r="P100" s="351">
        <v>0.28999999999999998</v>
      </c>
      <c r="Q100" s="351">
        <v>0.28000000000000003</v>
      </c>
      <c r="R100" s="351">
        <v>0.28000000000000003</v>
      </c>
      <c r="S100" s="351">
        <v>0.28000000000000003</v>
      </c>
      <c r="T100" s="351">
        <v>0.28000000000000003</v>
      </c>
      <c r="U100" s="111"/>
      <c r="V100" s="351">
        <v>0.28000000000000003</v>
      </c>
      <c r="W100" s="351">
        <v>0.27</v>
      </c>
      <c r="X100" s="351">
        <v>0.27</v>
      </c>
      <c r="Y100" s="351">
        <v>0.27</v>
      </c>
      <c r="Z100" s="351">
        <v>0.27</v>
      </c>
      <c r="AA100" s="109"/>
      <c r="AB100" s="351">
        <v>0.27</v>
      </c>
      <c r="AC100" s="351">
        <v>0.25</v>
      </c>
      <c r="AD100" s="351">
        <v>0.25</v>
      </c>
      <c r="AE100" s="351">
        <v>0.25</v>
      </c>
      <c r="AF100" s="351">
        <v>0.25</v>
      </c>
      <c r="AG100" s="111"/>
      <c r="AH100" s="351">
        <v>0.25</v>
      </c>
    </row>
    <row r="101" spans="1:34" ht="15.75" customHeight="1" thickBot="1" x14ac:dyDescent="0.25">
      <c r="A101" s="380"/>
      <c r="B101" s="376"/>
      <c r="C101" s="357"/>
      <c r="D101" s="354"/>
      <c r="E101" s="351"/>
      <c r="F101" s="351"/>
      <c r="G101" s="351"/>
      <c r="H101" s="351"/>
      <c r="I101" s="111"/>
      <c r="J101" s="351"/>
      <c r="K101" s="351"/>
      <c r="L101" s="351"/>
      <c r="M101" s="351"/>
      <c r="N101" s="351"/>
      <c r="O101" s="111"/>
      <c r="P101" s="351"/>
      <c r="Q101" s="351"/>
      <c r="R101" s="351"/>
      <c r="S101" s="351"/>
      <c r="T101" s="351"/>
      <c r="U101" s="111"/>
      <c r="V101" s="351"/>
      <c r="W101" s="351"/>
      <c r="X101" s="351"/>
      <c r="Y101" s="351"/>
      <c r="Z101" s="351"/>
      <c r="AA101" s="109"/>
      <c r="AB101" s="351"/>
      <c r="AC101" s="351"/>
      <c r="AD101" s="351"/>
      <c r="AE101" s="351"/>
      <c r="AF101" s="351"/>
      <c r="AG101" s="111"/>
      <c r="AH101" s="351"/>
    </row>
    <row r="102" spans="1:34" ht="15.75" customHeight="1" thickBot="1" x14ac:dyDescent="0.25">
      <c r="A102" s="380"/>
      <c r="B102" s="376" t="s">
        <v>98</v>
      </c>
      <c r="C102" s="357" t="s">
        <v>6</v>
      </c>
      <c r="D102" s="358" t="s">
        <v>78</v>
      </c>
      <c r="E102" s="351">
        <v>0.25</v>
      </c>
      <c r="F102" s="351">
        <v>0.25</v>
      </c>
      <c r="G102" s="351">
        <v>0.25</v>
      </c>
      <c r="H102" s="351">
        <v>0.25</v>
      </c>
      <c r="I102" s="111"/>
      <c r="J102" s="351">
        <v>0.25</v>
      </c>
      <c r="K102" s="351">
        <v>0.24</v>
      </c>
      <c r="L102" s="351">
        <v>0.24</v>
      </c>
      <c r="M102" s="351">
        <v>0.24</v>
      </c>
      <c r="N102" s="351">
        <v>0.24</v>
      </c>
      <c r="O102" s="111"/>
      <c r="P102" s="351">
        <v>0.24</v>
      </c>
      <c r="Q102" s="351">
        <v>0.23</v>
      </c>
      <c r="R102" s="351">
        <v>0.23</v>
      </c>
      <c r="S102" s="351">
        <v>0.23</v>
      </c>
      <c r="T102" s="351">
        <v>0.23</v>
      </c>
      <c r="U102" s="111"/>
      <c r="V102" s="351">
        <v>0.23</v>
      </c>
      <c r="W102" s="351">
        <v>0.22</v>
      </c>
      <c r="X102" s="351">
        <v>0.22</v>
      </c>
      <c r="Y102" s="351">
        <v>0.22</v>
      </c>
      <c r="Z102" s="351">
        <v>0.22</v>
      </c>
      <c r="AA102" s="109"/>
      <c r="AB102" s="351">
        <v>0.22</v>
      </c>
      <c r="AC102" s="351">
        <v>0.2</v>
      </c>
      <c r="AD102" s="351">
        <v>0.2</v>
      </c>
      <c r="AE102" s="351">
        <v>0.2</v>
      </c>
      <c r="AF102" s="351">
        <v>0.2</v>
      </c>
      <c r="AG102" s="111"/>
      <c r="AH102" s="351">
        <v>0.2</v>
      </c>
    </row>
    <row r="103" spans="1:34" ht="15.75" customHeight="1" thickBot="1" x14ac:dyDescent="0.25">
      <c r="A103" s="380"/>
      <c r="B103" s="377"/>
      <c r="C103" s="369"/>
      <c r="D103" s="354"/>
      <c r="E103" s="351"/>
      <c r="F103" s="351"/>
      <c r="G103" s="351"/>
      <c r="H103" s="351"/>
      <c r="I103" s="111"/>
      <c r="J103" s="351"/>
      <c r="K103" s="351"/>
      <c r="L103" s="351"/>
      <c r="M103" s="351"/>
      <c r="N103" s="351"/>
      <c r="O103" s="111"/>
      <c r="P103" s="351"/>
      <c r="Q103" s="351"/>
      <c r="R103" s="351"/>
      <c r="S103" s="351"/>
      <c r="T103" s="351"/>
      <c r="U103" s="111"/>
      <c r="V103" s="351"/>
      <c r="W103" s="351"/>
      <c r="X103" s="351"/>
      <c r="Y103" s="351"/>
      <c r="Z103" s="351"/>
      <c r="AA103" s="109"/>
      <c r="AB103" s="351"/>
      <c r="AC103" s="351"/>
      <c r="AD103" s="351"/>
      <c r="AE103" s="351"/>
      <c r="AF103" s="351"/>
      <c r="AG103" s="111"/>
      <c r="AH103" s="351"/>
    </row>
    <row r="104" spans="1:34" ht="15.75" customHeight="1" thickBot="1" x14ac:dyDescent="0.25">
      <c r="A104" s="380"/>
      <c r="B104" s="377"/>
      <c r="C104" s="357" t="s">
        <v>7</v>
      </c>
      <c r="D104" s="358" t="s">
        <v>78</v>
      </c>
      <c r="E104" s="351">
        <v>0.25</v>
      </c>
      <c r="F104" s="351">
        <v>0.25</v>
      </c>
      <c r="G104" s="351">
        <v>0.25</v>
      </c>
      <c r="H104" s="351">
        <v>0.25</v>
      </c>
      <c r="I104" s="111"/>
      <c r="J104" s="351">
        <v>0.25</v>
      </c>
      <c r="K104" s="351">
        <v>0.24</v>
      </c>
      <c r="L104" s="351">
        <v>0.24</v>
      </c>
      <c r="M104" s="351">
        <v>0.24</v>
      </c>
      <c r="N104" s="351">
        <v>0.24</v>
      </c>
      <c r="O104" s="111"/>
      <c r="P104" s="351">
        <v>0.24</v>
      </c>
      <c r="Q104" s="351">
        <v>0.23</v>
      </c>
      <c r="R104" s="351">
        <v>0.23</v>
      </c>
      <c r="S104" s="351">
        <v>0.23</v>
      </c>
      <c r="T104" s="351">
        <v>0.23</v>
      </c>
      <c r="U104" s="111"/>
      <c r="V104" s="351">
        <v>0.23</v>
      </c>
      <c r="W104" s="351">
        <v>0.22</v>
      </c>
      <c r="X104" s="351">
        <v>0.22</v>
      </c>
      <c r="Y104" s="351">
        <v>0.22</v>
      </c>
      <c r="Z104" s="351">
        <v>0.22</v>
      </c>
      <c r="AA104" s="109"/>
      <c r="AB104" s="351">
        <v>0.22</v>
      </c>
      <c r="AC104" s="351">
        <v>0.2</v>
      </c>
      <c r="AD104" s="351">
        <v>0.2</v>
      </c>
      <c r="AE104" s="351">
        <v>0.2</v>
      </c>
      <c r="AF104" s="351">
        <v>0.2</v>
      </c>
      <c r="AG104" s="111"/>
      <c r="AH104" s="351">
        <v>0.2</v>
      </c>
    </row>
    <row r="105" spans="1:34" ht="15.75" customHeight="1" thickBot="1" x14ac:dyDescent="0.25">
      <c r="A105" s="380"/>
      <c r="B105" s="377"/>
      <c r="C105" s="369"/>
      <c r="D105" s="354"/>
      <c r="E105" s="351"/>
      <c r="F105" s="351"/>
      <c r="G105" s="351"/>
      <c r="H105" s="351"/>
      <c r="I105" s="111"/>
      <c r="J105" s="351"/>
      <c r="K105" s="351"/>
      <c r="L105" s="351"/>
      <c r="M105" s="351"/>
      <c r="N105" s="351"/>
      <c r="O105" s="111"/>
      <c r="P105" s="351"/>
      <c r="Q105" s="351"/>
      <c r="R105" s="351"/>
      <c r="S105" s="351"/>
      <c r="T105" s="351"/>
      <c r="U105" s="111"/>
      <c r="V105" s="351"/>
      <c r="W105" s="351"/>
      <c r="X105" s="351"/>
      <c r="Y105" s="351"/>
      <c r="Z105" s="351"/>
      <c r="AA105" s="109"/>
      <c r="AB105" s="351"/>
      <c r="AC105" s="351"/>
      <c r="AD105" s="351"/>
      <c r="AE105" s="351"/>
      <c r="AF105" s="351"/>
      <c r="AG105" s="111"/>
      <c r="AH105" s="351"/>
    </row>
    <row r="106" spans="1:34" ht="15.75" customHeight="1" thickBot="1" x14ac:dyDescent="0.25">
      <c r="A106" s="380"/>
      <c r="B106" s="377"/>
      <c r="C106" s="357" t="s">
        <v>8</v>
      </c>
      <c r="D106" s="358" t="s">
        <v>78</v>
      </c>
      <c r="E106" s="351">
        <v>0.25</v>
      </c>
      <c r="F106" s="351">
        <v>0.25</v>
      </c>
      <c r="G106" s="351">
        <v>0.25</v>
      </c>
      <c r="H106" s="351">
        <v>0.25</v>
      </c>
      <c r="I106" s="111"/>
      <c r="J106" s="351">
        <v>0.25</v>
      </c>
      <c r="K106" s="351">
        <v>0.24</v>
      </c>
      <c r="L106" s="351">
        <v>0.24</v>
      </c>
      <c r="M106" s="351">
        <v>0.24</v>
      </c>
      <c r="N106" s="351">
        <v>0.24</v>
      </c>
      <c r="O106" s="111"/>
      <c r="P106" s="351">
        <v>0.24</v>
      </c>
      <c r="Q106" s="351">
        <v>0.23</v>
      </c>
      <c r="R106" s="351">
        <v>0.23</v>
      </c>
      <c r="S106" s="351">
        <v>0.23</v>
      </c>
      <c r="T106" s="351">
        <v>0.23</v>
      </c>
      <c r="U106" s="111"/>
      <c r="V106" s="351">
        <v>0.23</v>
      </c>
      <c r="W106" s="351">
        <v>0.22</v>
      </c>
      <c r="X106" s="351">
        <v>0.22</v>
      </c>
      <c r="Y106" s="351">
        <v>0.22</v>
      </c>
      <c r="Z106" s="351">
        <v>0.22</v>
      </c>
      <c r="AA106" s="109"/>
      <c r="AB106" s="351">
        <v>0.22</v>
      </c>
      <c r="AC106" s="351">
        <v>0.2</v>
      </c>
      <c r="AD106" s="351">
        <v>0.2</v>
      </c>
      <c r="AE106" s="351">
        <v>0.2</v>
      </c>
      <c r="AF106" s="351">
        <v>0.2</v>
      </c>
      <c r="AG106" s="111"/>
      <c r="AH106" s="351">
        <v>0.2</v>
      </c>
    </row>
    <row r="107" spans="1:34" ht="15.75" customHeight="1" thickBot="1" x14ac:dyDescent="0.25">
      <c r="A107" s="385"/>
      <c r="B107" s="377"/>
      <c r="C107" s="369"/>
      <c r="D107" s="354"/>
      <c r="E107" s="351"/>
      <c r="F107" s="351"/>
      <c r="G107" s="351"/>
      <c r="H107" s="351"/>
      <c r="I107" s="111"/>
      <c r="J107" s="351"/>
      <c r="K107" s="351"/>
      <c r="L107" s="351"/>
      <c r="M107" s="351"/>
      <c r="N107" s="351"/>
      <c r="O107" s="111"/>
      <c r="P107" s="351"/>
      <c r="Q107" s="351"/>
      <c r="R107" s="351"/>
      <c r="S107" s="351"/>
      <c r="T107" s="351"/>
      <c r="U107" s="111"/>
      <c r="V107" s="351"/>
      <c r="W107" s="351"/>
      <c r="X107" s="351"/>
      <c r="Y107" s="351"/>
      <c r="Z107" s="351"/>
      <c r="AA107" s="109"/>
      <c r="AB107" s="351"/>
      <c r="AC107" s="351"/>
      <c r="AD107" s="351"/>
      <c r="AE107" s="351"/>
      <c r="AF107" s="351"/>
      <c r="AG107" s="111"/>
      <c r="AH107" s="351"/>
    </row>
    <row r="108" spans="1:34" ht="10.8" thickBot="1" x14ac:dyDescent="0.25">
      <c r="A108" s="105" t="s">
        <v>21</v>
      </c>
      <c r="B108" s="375" t="s">
        <v>22</v>
      </c>
      <c r="C108" s="375"/>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row>
    <row r="109" spans="1:34" ht="28.2" customHeight="1" thickBot="1" x14ac:dyDescent="0.25">
      <c r="A109" s="408"/>
      <c r="B109" s="386" t="s">
        <v>23</v>
      </c>
      <c r="C109" s="386"/>
      <c r="D109" s="109" t="s">
        <v>135</v>
      </c>
      <c r="E109" s="108">
        <v>100</v>
      </c>
      <c r="F109" s="108">
        <v>100</v>
      </c>
      <c r="G109" s="108">
        <v>100</v>
      </c>
      <c r="H109" s="108">
        <v>100</v>
      </c>
      <c r="I109" s="111"/>
      <c r="J109" s="122">
        <v>400</v>
      </c>
      <c r="K109" s="108">
        <v>100</v>
      </c>
      <c r="L109" s="108">
        <v>100</v>
      </c>
      <c r="M109" s="108">
        <v>100</v>
      </c>
      <c r="N109" s="108">
        <v>100</v>
      </c>
      <c r="O109" s="111"/>
      <c r="P109" s="122">
        <v>400</v>
      </c>
      <c r="Q109" s="108">
        <v>100</v>
      </c>
      <c r="R109" s="108">
        <v>100</v>
      </c>
      <c r="S109" s="108">
        <v>100</v>
      </c>
      <c r="T109" s="108">
        <v>100</v>
      </c>
      <c r="U109" s="111"/>
      <c r="V109" s="122">
        <v>400</v>
      </c>
      <c r="W109" s="108">
        <v>100</v>
      </c>
      <c r="X109" s="108">
        <v>100</v>
      </c>
      <c r="Y109" s="108">
        <v>100</v>
      </c>
      <c r="Z109" s="108">
        <v>100</v>
      </c>
      <c r="AA109" s="111"/>
      <c r="AB109" s="122">
        <v>400</v>
      </c>
      <c r="AC109" s="108">
        <v>100</v>
      </c>
      <c r="AD109" s="108">
        <v>100</v>
      </c>
      <c r="AE109" s="108">
        <v>100</v>
      </c>
      <c r="AF109" s="108">
        <v>100</v>
      </c>
      <c r="AG109" s="111"/>
      <c r="AH109" s="122">
        <v>400</v>
      </c>
    </row>
    <row r="110" spans="1:34" ht="10.8" thickBot="1" x14ac:dyDescent="0.25">
      <c r="A110" s="409"/>
      <c r="B110" s="376" t="s">
        <v>99</v>
      </c>
      <c r="C110" s="384"/>
      <c r="D110" s="358" t="s">
        <v>78</v>
      </c>
      <c r="E110" s="351">
        <v>0.33</v>
      </c>
      <c r="F110" s="351">
        <v>0.33</v>
      </c>
      <c r="G110" s="351">
        <v>0.33</v>
      </c>
      <c r="H110" s="351">
        <v>0.33</v>
      </c>
      <c r="I110" s="111"/>
      <c r="J110" s="351">
        <v>0.33</v>
      </c>
      <c r="K110" s="351">
        <v>0.33</v>
      </c>
      <c r="L110" s="351">
        <v>0.33</v>
      </c>
      <c r="M110" s="351">
        <v>0.33</v>
      </c>
      <c r="N110" s="351">
        <v>0.33</v>
      </c>
      <c r="O110" s="111"/>
      <c r="P110" s="351">
        <v>0.33</v>
      </c>
      <c r="Q110" s="351">
        <v>0.33</v>
      </c>
      <c r="R110" s="351">
        <v>0.33</v>
      </c>
      <c r="S110" s="351">
        <v>0.33</v>
      </c>
      <c r="T110" s="351">
        <v>0.33</v>
      </c>
      <c r="U110" s="111"/>
      <c r="V110" s="351">
        <v>0.33</v>
      </c>
      <c r="W110" s="351">
        <v>0.33</v>
      </c>
      <c r="X110" s="351">
        <v>0.33</v>
      </c>
      <c r="Y110" s="351">
        <v>0.33</v>
      </c>
      <c r="Z110" s="351">
        <v>0.33</v>
      </c>
      <c r="AA110" s="111"/>
      <c r="AB110" s="351">
        <v>0.33</v>
      </c>
      <c r="AC110" s="351">
        <v>0.33</v>
      </c>
      <c r="AD110" s="351">
        <v>0.33</v>
      </c>
      <c r="AE110" s="351">
        <v>0.33</v>
      </c>
      <c r="AF110" s="351">
        <v>0.33</v>
      </c>
      <c r="AG110" s="111"/>
      <c r="AH110" s="351">
        <v>0.33</v>
      </c>
    </row>
    <row r="111" spans="1:34" ht="10.8" thickBot="1" x14ac:dyDescent="0.25">
      <c r="A111" s="409"/>
      <c r="B111" s="384"/>
      <c r="C111" s="384"/>
      <c r="D111" s="354"/>
      <c r="E111" s="351"/>
      <c r="F111" s="351"/>
      <c r="G111" s="351"/>
      <c r="H111" s="351"/>
      <c r="I111" s="111"/>
      <c r="J111" s="351"/>
      <c r="K111" s="351"/>
      <c r="L111" s="351"/>
      <c r="M111" s="351"/>
      <c r="N111" s="351"/>
      <c r="O111" s="111"/>
      <c r="P111" s="351"/>
      <c r="Q111" s="351"/>
      <c r="R111" s="351"/>
      <c r="S111" s="351"/>
      <c r="T111" s="351"/>
      <c r="U111" s="111"/>
      <c r="V111" s="351"/>
      <c r="W111" s="351"/>
      <c r="X111" s="351"/>
      <c r="Y111" s="351"/>
      <c r="Z111" s="351"/>
      <c r="AA111" s="111"/>
      <c r="AB111" s="351"/>
      <c r="AC111" s="351"/>
      <c r="AD111" s="351"/>
      <c r="AE111" s="351"/>
      <c r="AF111" s="351"/>
      <c r="AG111" s="111"/>
      <c r="AH111" s="351"/>
    </row>
    <row r="112" spans="1:34" ht="15.75" customHeight="1" thickBot="1" x14ac:dyDescent="0.25">
      <c r="A112" s="409"/>
      <c r="B112" s="376" t="s">
        <v>136</v>
      </c>
      <c r="C112" s="357" t="s">
        <v>6</v>
      </c>
      <c r="D112" s="358" t="s">
        <v>78</v>
      </c>
      <c r="E112" s="351">
        <v>0.5</v>
      </c>
      <c r="F112" s="351">
        <v>0.5</v>
      </c>
      <c r="G112" s="351">
        <v>0.5</v>
      </c>
      <c r="H112" s="351">
        <v>0.5</v>
      </c>
      <c r="I112" s="111"/>
      <c r="J112" s="351">
        <v>0.5</v>
      </c>
      <c r="K112" s="351">
        <v>0.49</v>
      </c>
      <c r="L112" s="351">
        <v>0.49</v>
      </c>
      <c r="M112" s="351">
        <v>0.49</v>
      </c>
      <c r="N112" s="351">
        <v>0.49</v>
      </c>
      <c r="O112" s="111"/>
      <c r="P112" s="351">
        <v>0.49</v>
      </c>
      <c r="Q112" s="351">
        <v>0.48</v>
      </c>
      <c r="R112" s="351">
        <v>0.48</v>
      </c>
      <c r="S112" s="351">
        <v>0.48</v>
      </c>
      <c r="T112" s="351">
        <v>0.48</v>
      </c>
      <c r="U112" s="111"/>
      <c r="V112" s="351">
        <v>0.48</v>
      </c>
      <c r="W112" s="351">
        <v>0.47</v>
      </c>
      <c r="X112" s="351">
        <v>0.47</v>
      </c>
      <c r="Y112" s="351">
        <v>0.47</v>
      </c>
      <c r="Z112" s="351">
        <v>0.47</v>
      </c>
      <c r="AA112" s="109"/>
      <c r="AB112" s="351">
        <v>0.47</v>
      </c>
      <c r="AC112" s="351">
        <v>0.45</v>
      </c>
      <c r="AD112" s="351">
        <v>0.45</v>
      </c>
      <c r="AE112" s="351">
        <v>0.45</v>
      </c>
      <c r="AF112" s="351">
        <v>0.45</v>
      </c>
      <c r="AG112" s="111"/>
      <c r="AH112" s="351">
        <v>0.45</v>
      </c>
    </row>
    <row r="113" spans="1:34" ht="15.75" customHeight="1" thickBot="1" x14ac:dyDescent="0.25">
      <c r="A113" s="409"/>
      <c r="B113" s="376"/>
      <c r="C113" s="357"/>
      <c r="D113" s="354"/>
      <c r="E113" s="351"/>
      <c r="F113" s="351"/>
      <c r="G113" s="351"/>
      <c r="H113" s="351"/>
      <c r="I113" s="111"/>
      <c r="J113" s="351"/>
      <c r="K113" s="351"/>
      <c r="L113" s="351"/>
      <c r="M113" s="351"/>
      <c r="N113" s="351"/>
      <c r="O113" s="111"/>
      <c r="P113" s="351"/>
      <c r="Q113" s="351"/>
      <c r="R113" s="351"/>
      <c r="S113" s="351"/>
      <c r="T113" s="351"/>
      <c r="U113" s="111"/>
      <c r="V113" s="351"/>
      <c r="W113" s="351"/>
      <c r="X113" s="351"/>
      <c r="Y113" s="351"/>
      <c r="Z113" s="351"/>
      <c r="AA113" s="109"/>
      <c r="AB113" s="351"/>
      <c r="AC113" s="351"/>
      <c r="AD113" s="351"/>
      <c r="AE113" s="351"/>
      <c r="AF113" s="351"/>
      <c r="AG113" s="111"/>
      <c r="AH113" s="351"/>
    </row>
    <row r="114" spans="1:34" ht="15.75" customHeight="1" thickBot="1" x14ac:dyDescent="0.25">
      <c r="A114" s="409"/>
      <c r="B114" s="376"/>
      <c r="C114" s="357" t="s">
        <v>7</v>
      </c>
      <c r="D114" s="358" t="s">
        <v>78</v>
      </c>
      <c r="E114" s="351">
        <v>0.25</v>
      </c>
      <c r="F114" s="351">
        <v>0.25</v>
      </c>
      <c r="G114" s="351">
        <v>0.25</v>
      </c>
      <c r="H114" s="351">
        <v>0.25</v>
      </c>
      <c r="I114" s="111"/>
      <c r="J114" s="351">
        <v>0.25</v>
      </c>
      <c r="K114" s="351">
        <v>0.24</v>
      </c>
      <c r="L114" s="351">
        <v>0.24</v>
      </c>
      <c r="M114" s="351">
        <v>0.24</v>
      </c>
      <c r="N114" s="351">
        <v>0.24</v>
      </c>
      <c r="O114" s="111"/>
      <c r="P114" s="351">
        <v>0.24</v>
      </c>
      <c r="Q114" s="351">
        <v>0.23</v>
      </c>
      <c r="R114" s="351">
        <v>0.23</v>
      </c>
      <c r="S114" s="351">
        <v>0.23</v>
      </c>
      <c r="T114" s="351">
        <v>0.23</v>
      </c>
      <c r="U114" s="111"/>
      <c r="V114" s="351">
        <v>0.23</v>
      </c>
      <c r="W114" s="351">
        <v>0.22</v>
      </c>
      <c r="X114" s="351">
        <v>0.22</v>
      </c>
      <c r="Y114" s="351">
        <v>0.22</v>
      </c>
      <c r="Z114" s="351">
        <v>0.22</v>
      </c>
      <c r="AA114" s="109"/>
      <c r="AB114" s="351">
        <v>0.22</v>
      </c>
      <c r="AC114" s="351">
        <v>0.2</v>
      </c>
      <c r="AD114" s="351">
        <v>0.2</v>
      </c>
      <c r="AE114" s="351">
        <v>0.2</v>
      </c>
      <c r="AF114" s="351">
        <v>0.2</v>
      </c>
      <c r="AG114" s="111"/>
      <c r="AH114" s="351">
        <v>0.2</v>
      </c>
    </row>
    <row r="115" spans="1:34" ht="15.75" customHeight="1" thickBot="1" x14ac:dyDescent="0.25">
      <c r="A115" s="409"/>
      <c r="B115" s="376"/>
      <c r="C115" s="357"/>
      <c r="D115" s="354"/>
      <c r="E115" s="351"/>
      <c r="F115" s="351"/>
      <c r="G115" s="351"/>
      <c r="H115" s="351"/>
      <c r="I115" s="111"/>
      <c r="J115" s="351"/>
      <c r="K115" s="351"/>
      <c r="L115" s="351"/>
      <c r="M115" s="351"/>
      <c r="N115" s="351"/>
      <c r="O115" s="111"/>
      <c r="P115" s="351"/>
      <c r="Q115" s="351"/>
      <c r="R115" s="351"/>
      <c r="S115" s="351"/>
      <c r="T115" s="351"/>
      <c r="U115" s="111"/>
      <c r="V115" s="351"/>
      <c r="W115" s="351"/>
      <c r="X115" s="351"/>
      <c r="Y115" s="351"/>
      <c r="Z115" s="351"/>
      <c r="AA115" s="109"/>
      <c r="AB115" s="351"/>
      <c r="AC115" s="351"/>
      <c r="AD115" s="351"/>
      <c r="AE115" s="351"/>
      <c r="AF115" s="351"/>
      <c r="AG115" s="111"/>
      <c r="AH115" s="351"/>
    </row>
    <row r="116" spans="1:34" ht="15.75" customHeight="1" thickBot="1" x14ac:dyDescent="0.25">
      <c r="A116" s="409"/>
      <c r="B116" s="376"/>
      <c r="C116" s="357" t="s">
        <v>8</v>
      </c>
      <c r="D116" s="358" t="s">
        <v>78</v>
      </c>
      <c r="E116" s="351">
        <v>0.3</v>
      </c>
      <c r="F116" s="351">
        <v>0.3</v>
      </c>
      <c r="G116" s="351">
        <v>0.3</v>
      </c>
      <c r="H116" s="351">
        <v>0.3</v>
      </c>
      <c r="I116" s="111"/>
      <c r="J116" s="351">
        <v>0.3</v>
      </c>
      <c r="K116" s="351">
        <v>0.28999999999999998</v>
      </c>
      <c r="L116" s="351">
        <v>0.28999999999999998</v>
      </c>
      <c r="M116" s="351">
        <v>0.28999999999999998</v>
      </c>
      <c r="N116" s="351">
        <v>0.28999999999999998</v>
      </c>
      <c r="O116" s="111"/>
      <c r="P116" s="351">
        <v>0.28999999999999998</v>
      </c>
      <c r="Q116" s="351">
        <v>0.28000000000000003</v>
      </c>
      <c r="R116" s="351">
        <v>0.28000000000000003</v>
      </c>
      <c r="S116" s="351">
        <v>0.28000000000000003</v>
      </c>
      <c r="T116" s="351">
        <v>0.28000000000000003</v>
      </c>
      <c r="U116" s="111"/>
      <c r="V116" s="351">
        <v>0.28000000000000003</v>
      </c>
      <c r="W116" s="351">
        <v>0.27</v>
      </c>
      <c r="X116" s="351">
        <v>0.27</v>
      </c>
      <c r="Y116" s="351">
        <v>0.27</v>
      </c>
      <c r="Z116" s="351">
        <v>0.27</v>
      </c>
      <c r="AA116" s="109"/>
      <c r="AB116" s="351">
        <v>0.27</v>
      </c>
      <c r="AC116" s="351">
        <v>0.25</v>
      </c>
      <c r="AD116" s="351">
        <v>0.25</v>
      </c>
      <c r="AE116" s="351">
        <v>0.25</v>
      </c>
      <c r="AF116" s="351">
        <v>0.25</v>
      </c>
      <c r="AG116" s="111"/>
      <c r="AH116" s="351">
        <v>0.25</v>
      </c>
    </row>
    <row r="117" spans="1:34" ht="15.75" customHeight="1" thickBot="1" x14ac:dyDescent="0.25">
      <c r="A117" s="409"/>
      <c r="B117" s="376"/>
      <c r="C117" s="357"/>
      <c r="D117" s="354"/>
      <c r="E117" s="351"/>
      <c r="F117" s="351"/>
      <c r="G117" s="351"/>
      <c r="H117" s="351"/>
      <c r="I117" s="111"/>
      <c r="J117" s="351"/>
      <c r="K117" s="351"/>
      <c r="L117" s="351"/>
      <c r="M117" s="351"/>
      <c r="N117" s="351"/>
      <c r="O117" s="111"/>
      <c r="P117" s="351"/>
      <c r="Q117" s="351"/>
      <c r="R117" s="351"/>
      <c r="S117" s="351"/>
      <c r="T117" s="351"/>
      <c r="U117" s="111"/>
      <c r="V117" s="351"/>
      <c r="W117" s="351"/>
      <c r="X117" s="351"/>
      <c r="Y117" s="351"/>
      <c r="Z117" s="351"/>
      <c r="AA117" s="109"/>
      <c r="AB117" s="351"/>
      <c r="AC117" s="351"/>
      <c r="AD117" s="351"/>
      <c r="AE117" s="351"/>
      <c r="AF117" s="351"/>
      <c r="AG117" s="111"/>
      <c r="AH117" s="351"/>
    </row>
    <row r="118" spans="1:34" ht="15.75" customHeight="1" thickBot="1" x14ac:dyDescent="0.25">
      <c r="A118" s="409"/>
      <c r="B118" s="376" t="s">
        <v>86</v>
      </c>
      <c r="C118" s="357" t="s">
        <v>6</v>
      </c>
      <c r="D118" s="358" t="s">
        <v>78</v>
      </c>
      <c r="E118" s="351">
        <v>0.1</v>
      </c>
      <c r="F118" s="351">
        <v>0.1</v>
      </c>
      <c r="G118" s="351">
        <v>0.1</v>
      </c>
      <c r="H118" s="351">
        <v>0.1</v>
      </c>
      <c r="I118" s="111"/>
      <c r="J118" s="351">
        <v>0.1</v>
      </c>
      <c r="K118" s="351">
        <v>0.1</v>
      </c>
      <c r="L118" s="351">
        <v>0.1</v>
      </c>
      <c r="M118" s="351">
        <v>0.1</v>
      </c>
      <c r="N118" s="351">
        <v>0.1</v>
      </c>
      <c r="O118" s="111"/>
      <c r="P118" s="351">
        <v>0.1</v>
      </c>
      <c r="Q118" s="351">
        <v>0.1</v>
      </c>
      <c r="R118" s="351">
        <v>0.1</v>
      </c>
      <c r="S118" s="351">
        <v>0.1</v>
      </c>
      <c r="T118" s="351">
        <v>0.1</v>
      </c>
      <c r="U118" s="111"/>
      <c r="V118" s="351">
        <v>0.1</v>
      </c>
      <c r="W118" s="351">
        <v>0.1</v>
      </c>
      <c r="X118" s="351">
        <v>0.1</v>
      </c>
      <c r="Y118" s="351">
        <v>0.1</v>
      </c>
      <c r="Z118" s="351">
        <v>0.1</v>
      </c>
      <c r="AA118" s="111"/>
      <c r="AB118" s="351">
        <v>0.1</v>
      </c>
      <c r="AC118" s="351">
        <v>0.1</v>
      </c>
      <c r="AD118" s="351">
        <v>0.1</v>
      </c>
      <c r="AE118" s="351">
        <v>0.1</v>
      </c>
      <c r="AF118" s="351">
        <v>0.1</v>
      </c>
      <c r="AG118" s="111"/>
      <c r="AH118" s="351">
        <v>0.1</v>
      </c>
    </row>
    <row r="119" spans="1:34" ht="15.75" customHeight="1" thickBot="1" x14ac:dyDescent="0.25">
      <c r="A119" s="409"/>
      <c r="B119" s="376"/>
      <c r="C119" s="357"/>
      <c r="D119" s="354"/>
      <c r="E119" s="351"/>
      <c r="F119" s="351"/>
      <c r="G119" s="351"/>
      <c r="H119" s="351"/>
      <c r="I119" s="111"/>
      <c r="J119" s="351"/>
      <c r="K119" s="351"/>
      <c r="L119" s="351"/>
      <c r="M119" s="351"/>
      <c r="N119" s="351"/>
      <c r="O119" s="111"/>
      <c r="P119" s="351"/>
      <c r="Q119" s="351"/>
      <c r="R119" s="351"/>
      <c r="S119" s="351"/>
      <c r="T119" s="351"/>
      <c r="U119" s="111"/>
      <c r="V119" s="351"/>
      <c r="W119" s="351"/>
      <c r="X119" s="351"/>
      <c r="Y119" s="351"/>
      <c r="Z119" s="351"/>
      <c r="AA119" s="111"/>
      <c r="AB119" s="351"/>
      <c r="AC119" s="351"/>
      <c r="AD119" s="351"/>
      <c r="AE119" s="351"/>
      <c r="AF119" s="351"/>
      <c r="AG119" s="111"/>
      <c r="AH119" s="351"/>
    </row>
    <row r="120" spans="1:34" ht="15.75" customHeight="1" thickBot="1" x14ac:dyDescent="0.25">
      <c r="A120" s="409"/>
      <c r="B120" s="376"/>
      <c r="C120" s="357" t="s">
        <v>7</v>
      </c>
      <c r="D120" s="358" t="s">
        <v>78</v>
      </c>
      <c r="E120" s="351">
        <v>0.1</v>
      </c>
      <c r="F120" s="351">
        <v>0.1</v>
      </c>
      <c r="G120" s="351">
        <v>0.1</v>
      </c>
      <c r="H120" s="351">
        <v>0.1</v>
      </c>
      <c r="I120" s="111"/>
      <c r="J120" s="351">
        <v>0.1</v>
      </c>
      <c r="K120" s="351">
        <v>0.1</v>
      </c>
      <c r="L120" s="351">
        <v>0.1</v>
      </c>
      <c r="M120" s="351">
        <v>0.1</v>
      </c>
      <c r="N120" s="351">
        <v>0.1</v>
      </c>
      <c r="O120" s="111"/>
      <c r="P120" s="351">
        <v>0.1</v>
      </c>
      <c r="Q120" s="351">
        <v>0.1</v>
      </c>
      <c r="R120" s="351">
        <v>0.1</v>
      </c>
      <c r="S120" s="351">
        <v>0.1</v>
      </c>
      <c r="T120" s="351">
        <v>0.1</v>
      </c>
      <c r="U120" s="111"/>
      <c r="V120" s="351">
        <v>0.1</v>
      </c>
      <c r="W120" s="351">
        <v>0.1</v>
      </c>
      <c r="X120" s="351">
        <v>0.1</v>
      </c>
      <c r="Y120" s="351">
        <v>0.1</v>
      </c>
      <c r="Z120" s="351">
        <v>0.1</v>
      </c>
      <c r="AA120" s="111"/>
      <c r="AB120" s="351">
        <v>0.1</v>
      </c>
      <c r="AC120" s="351">
        <v>0.1</v>
      </c>
      <c r="AD120" s="351">
        <v>0.1</v>
      </c>
      <c r="AE120" s="351">
        <v>0.1</v>
      </c>
      <c r="AF120" s="351">
        <v>0.1</v>
      </c>
      <c r="AG120" s="111"/>
      <c r="AH120" s="351">
        <v>0.1</v>
      </c>
    </row>
    <row r="121" spans="1:34" ht="15.75" customHeight="1" thickBot="1" x14ac:dyDescent="0.25">
      <c r="A121" s="409"/>
      <c r="B121" s="376"/>
      <c r="C121" s="357"/>
      <c r="D121" s="354"/>
      <c r="E121" s="351"/>
      <c r="F121" s="351"/>
      <c r="G121" s="351"/>
      <c r="H121" s="351"/>
      <c r="I121" s="111"/>
      <c r="J121" s="351"/>
      <c r="K121" s="351"/>
      <c r="L121" s="351"/>
      <c r="M121" s="351"/>
      <c r="N121" s="351"/>
      <c r="O121" s="111"/>
      <c r="P121" s="351"/>
      <c r="Q121" s="351"/>
      <c r="R121" s="351"/>
      <c r="S121" s="351"/>
      <c r="T121" s="351"/>
      <c r="U121" s="111"/>
      <c r="V121" s="351"/>
      <c r="W121" s="351"/>
      <c r="X121" s="351"/>
      <c r="Y121" s="351"/>
      <c r="Z121" s="351"/>
      <c r="AA121" s="111"/>
      <c r="AB121" s="351"/>
      <c r="AC121" s="351"/>
      <c r="AD121" s="351"/>
      <c r="AE121" s="351"/>
      <c r="AF121" s="351"/>
      <c r="AG121" s="111"/>
      <c r="AH121" s="351"/>
    </row>
    <row r="122" spans="1:34" ht="15.75" customHeight="1" thickBot="1" x14ac:dyDescent="0.25">
      <c r="A122" s="409"/>
      <c r="B122" s="376"/>
      <c r="C122" s="357" t="s">
        <v>8</v>
      </c>
      <c r="D122" s="358" t="s">
        <v>78</v>
      </c>
      <c r="E122" s="351">
        <v>0.1</v>
      </c>
      <c r="F122" s="351">
        <v>0.1</v>
      </c>
      <c r="G122" s="351">
        <v>0.1</v>
      </c>
      <c r="H122" s="351">
        <v>0.1</v>
      </c>
      <c r="I122" s="111"/>
      <c r="J122" s="351">
        <v>0.1</v>
      </c>
      <c r="K122" s="351">
        <v>0.1</v>
      </c>
      <c r="L122" s="351">
        <v>0.1</v>
      </c>
      <c r="M122" s="351">
        <v>0.1</v>
      </c>
      <c r="N122" s="351">
        <v>0.1</v>
      </c>
      <c r="O122" s="111"/>
      <c r="P122" s="351">
        <v>0.1</v>
      </c>
      <c r="Q122" s="351">
        <v>0.1</v>
      </c>
      <c r="R122" s="351">
        <v>0.1</v>
      </c>
      <c r="S122" s="351">
        <v>0.1</v>
      </c>
      <c r="T122" s="351">
        <v>0.1</v>
      </c>
      <c r="U122" s="111"/>
      <c r="V122" s="351">
        <v>0.1</v>
      </c>
      <c r="W122" s="351">
        <v>0.1</v>
      </c>
      <c r="X122" s="351">
        <v>0.1</v>
      </c>
      <c r="Y122" s="351">
        <v>0.1</v>
      </c>
      <c r="Z122" s="351">
        <v>0.1</v>
      </c>
      <c r="AA122" s="111"/>
      <c r="AB122" s="351">
        <v>0.1</v>
      </c>
      <c r="AC122" s="351">
        <v>0.1</v>
      </c>
      <c r="AD122" s="351">
        <v>0.1</v>
      </c>
      <c r="AE122" s="351">
        <v>0.1</v>
      </c>
      <c r="AF122" s="351">
        <v>0.1</v>
      </c>
      <c r="AG122" s="111"/>
      <c r="AH122" s="351">
        <v>0.1</v>
      </c>
    </row>
    <row r="123" spans="1:34" ht="15.75" customHeight="1" thickBot="1" x14ac:dyDescent="0.25">
      <c r="A123" s="410"/>
      <c r="B123" s="376"/>
      <c r="C123" s="357"/>
      <c r="D123" s="354"/>
      <c r="E123" s="351"/>
      <c r="F123" s="351"/>
      <c r="G123" s="351"/>
      <c r="H123" s="351"/>
      <c r="I123" s="111"/>
      <c r="J123" s="351"/>
      <c r="K123" s="351"/>
      <c r="L123" s="351"/>
      <c r="M123" s="351"/>
      <c r="N123" s="351"/>
      <c r="O123" s="111"/>
      <c r="P123" s="351"/>
      <c r="Q123" s="351"/>
      <c r="R123" s="351"/>
      <c r="S123" s="351"/>
      <c r="T123" s="351"/>
      <c r="U123" s="111"/>
      <c r="V123" s="351"/>
      <c r="W123" s="351"/>
      <c r="X123" s="351"/>
      <c r="Y123" s="351"/>
      <c r="Z123" s="351"/>
      <c r="AA123" s="111"/>
      <c r="AB123" s="351"/>
      <c r="AC123" s="351"/>
      <c r="AD123" s="351"/>
      <c r="AE123" s="351"/>
      <c r="AF123" s="351"/>
      <c r="AG123" s="111"/>
      <c r="AH123" s="351"/>
    </row>
    <row r="124" spans="1:34" ht="15.75" customHeight="1" thickBot="1" x14ac:dyDescent="0.25">
      <c r="A124" s="97" t="s">
        <v>24</v>
      </c>
      <c r="B124" s="361" t="s">
        <v>25</v>
      </c>
      <c r="C124" s="362"/>
      <c r="D124" s="406"/>
      <c r="E124" s="406"/>
      <c r="F124" s="406"/>
      <c r="G124" s="406"/>
      <c r="H124" s="406"/>
      <c r="I124" s="406"/>
      <c r="J124" s="406"/>
      <c r="K124" s="406"/>
      <c r="L124" s="406"/>
      <c r="M124" s="406"/>
      <c r="N124" s="406"/>
      <c r="O124" s="406"/>
      <c r="P124" s="406"/>
      <c r="Q124" s="406"/>
      <c r="R124" s="406"/>
      <c r="S124" s="406"/>
      <c r="T124" s="406"/>
      <c r="U124" s="406"/>
      <c r="V124" s="406"/>
      <c r="W124" s="406"/>
      <c r="X124" s="406"/>
      <c r="Y124" s="406"/>
      <c r="Z124" s="406"/>
      <c r="AA124" s="406"/>
      <c r="AB124" s="406"/>
      <c r="AC124" s="406"/>
      <c r="AD124" s="406"/>
      <c r="AE124" s="406"/>
      <c r="AF124" s="406"/>
      <c r="AG124" s="406"/>
      <c r="AH124" s="407"/>
    </row>
    <row r="125" spans="1:34" ht="15.75" customHeight="1" thickBot="1" x14ac:dyDescent="0.25">
      <c r="A125" s="379"/>
      <c r="B125" s="376" t="s">
        <v>137</v>
      </c>
      <c r="C125" s="357" t="s">
        <v>26</v>
      </c>
      <c r="D125" s="358" t="s">
        <v>78</v>
      </c>
      <c r="E125" s="112">
        <v>5.0000000000000001E-3</v>
      </c>
      <c r="F125" s="112">
        <v>5.0000000000000001E-3</v>
      </c>
      <c r="G125" s="112">
        <v>5.0000000000000001E-3</v>
      </c>
      <c r="H125" s="112">
        <v>5.0000000000000001E-3</v>
      </c>
      <c r="I125" s="111"/>
      <c r="J125" s="112">
        <v>5.0000000000000001E-3</v>
      </c>
      <c r="K125" s="112">
        <v>5.0000000000000001E-3</v>
      </c>
      <c r="L125" s="112">
        <v>5.0000000000000001E-3</v>
      </c>
      <c r="M125" s="112">
        <v>5.0000000000000001E-3</v>
      </c>
      <c r="N125" s="112">
        <v>5.0000000000000001E-3</v>
      </c>
      <c r="O125" s="111"/>
      <c r="P125" s="112">
        <v>5.0000000000000001E-3</v>
      </c>
      <c r="Q125" s="112">
        <v>5.0000000000000001E-3</v>
      </c>
      <c r="R125" s="112">
        <v>5.0000000000000001E-3</v>
      </c>
      <c r="S125" s="112">
        <v>5.0000000000000001E-3</v>
      </c>
      <c r="T125" s="112">
        <v>5.0000000000000001E-3</v>
      </c>
      <c r="U125" s="111"/>
      <c r="V125" s="112">
        <v>5.0000000000000001E-3</v>
      </c>
      <c r="W125" s="112">
        <v>5.0000000000000001E-3</v>
      </c>
      <c r="X125" s="112">
        <v>5.0000000000000001E-3</v>
      </c>
      <c r="Y125" s="112">
        <v>5.0000000000000001E-3</v>
      </c>
      <c r="Z125" s="112">
        <v>5.0000000000000001E-3</v>
      </c>
      <c r="AA125" s="111"/>
      <c r="AB125" s="112">
        <v>5.0000000000000001E-3</v>
      </c>
      <c r="AC125" s="112">
        <v>5.0000000000000001E-3</v>
      </c>
      <c r="AD125" s="112">
        <v>5.0000000000000001E-3</v>
      </c>
      <c r="AE125" s="112">
        <v>5.0000000000000001E-3</v>
      </c>
      <c r="AF125" s="112">
        <v>5.0000000000000001E-3</v>
      </c>
      <c r="AG125" s="111"/>
      <c r="AH125" s="112">
        <v>5.0000000000000001E-3</v>
      </c>
    </row>
    <row r="126" spans="1:34" ht="15.75" customHeight="1" thickBot="1" x14ac:dyDescent="0.25">
      <c r="A126" s="380"/>
      <c r="B126" s="376"/>
      <c r="C126" s="357"/>
      <c r="D126" s="354"/>
      <c r="E126" s="112"/>
      <c r="F126" s="112"/>
      <c r="G126" s="112"/>
      <c r="H126" s="112"/>
      <c r="I126" s="111"/>
      <c r="J126" s="112"/>
      <c r="K126" s="112"/>
      <c r="L126" s="112"/>
      <c r="M126" s="112"/>
      <c r="N126" s="112"/>
      <c r="O126" s="111"/>
      <c r="P126" s="112"/>
      <c r="Q126" s="112"/>
      <c r="R126" s="112"/>
      <c r="S126" s="112"/>
      <c r="T126" s="112"/>
      <c r="U126" s="111"/>
      <c r="V126" s="112"/>
      <c r="W126" s="112"/>
      <c r="X126" s="112"/>
      <c r="Y126" s="112"/>
      <c r="Z126" s="112"/>
      <c r="AA126" s="111"/>
      <c r="AB126" s="112"/>
      <c r="AC126" s="112"/>
      <c r="AD126" s="112"/>
      <c r="AE126" s="112"/>
      <c r="AF126" s="112"/>
      <c r="AG126" s="111"/>
      <c r="AH126" s="112"/>
    </row>
    <row r="127" spans="1:34" ht="15.75" customHeight="1" thickBot="1" x14ac:dyDescent="0.25">
      <c r="A127" s="380"/>
      <c r="B127" s="376"/>
      <c r="C127" s="357" t="s">
        <v>7</v>
      </c>
      <c r="D127" s="358" t="s">
        <v>78</v>
      </c>
      <c r="E127" s="355">
        <v>0.02</v>
      </c>
      <c r="F127" s="355">
        <v>0.02</v>
      </c>
      <c r="G127" s="355">
        <v>0.02</v>
      </c>
      <c r="H127" s="355">
        <v>0.02</v>
      </c>
      <c r="I127" s="111"/>
      <c r="J127" s="355">
        <v>0.02</v>
      </c>
      <c r="K127" s="355">
        <v>0.02</v>
      </c>
      <c r="L127" s="355">
        <v>0.02</v>
      </c>
      <c r="M127" s="355">
        <v>0.02</v>
      </c>
      <c r="N127" s="355">
        <v>0.02</v>
      </c>
      <c r="O127" s="111"/>
      <c r="P127" s="355">
        <v>0.02</v>
      </c>
      <c r="Q127" s="355">
        <v>0.02</v>
      </c>
      <c r="R127" s="355">
        <v>0.02</v>
      </c>
      <c r="S127" s="355">
        <v>0.02</v>
      </c>
      <c r="T127" s="355">
        <v>0.02</v>
      </c>
      <c r="U127" s="111"/>
      <c r="V127" s="355">
        <v>0.02</v>
      </c>
      <c r="W127" s="355">
        <v>0.02</v>
      </c>
      <c r="X127" s="355">
        <v>0.02</v>
      </c>
      <c r="Y127" s="355">
        <v>0.02</v>
      </c>
      <c r="Z127" s="355">
        <v>0.02</v>
      </c>
      <c r="AA127" s="111"/>
      <c r="AB127" s="355">
        <v>0.02</v>
      </c>
      <c r="AC127" s="355">
        <v>0.02</v>
      </c>
      <c r="AD127" s="355">
        <v>0.02</v>
      </c>
      <c r="AE127" s="355">
        <v>0.02</v>
      </c>
      <c r="AF127" s="355">
        <v>0.02</v>
      </c>
      <c r="AG127" s="111"/>
      <c r="AH127" s="355">
        <v>0.02</v>
      </c>
    </row>
    <row r="128" spans="1:34" ht="15.75" customHeight="1" thickBot="1" x14ac:dyDescent="0.25">
      <c r="A128" s="380"/>
      <c r="B128" s="376"/>
      <c r="C128" s="357"/>
      <c r="D128" s="354"/>
      <c r="E128" s="355"/>
      <c r="F128" s="355"/>
      <c r="G128" s="355"/>
      <c r="H128" s="355"/>
      <c r="I128" s="111"/>
      <c r="J128" s="355"/>
      <c r="K128" s="355"/>
      <c r="L128" s="355"/>
      <c r="M128" s="355"/>
      <c r="N128" s="355"/>
      <c r="O128" s="111"/>
      <c r="P128" s="355"/>
      <c r="Q128" s="355"/>
      <c r="R128" s="355"/>
      <c r="S128" s="355"/>
      <c r="T128" s="355"/>
      <c r="U128" s="111"/>
      <c r="V128" s="355"/>
      <c r="W128" s="355"/>
      <c r="X128" s="355"/>
      <c r="Y128" s="355"/>
      <c r="Z128" s="355"/>
      <c r="AA128" s="111"/>
      <c r="AB128" s="355"/>
      <c r="AC128" s="355"/>
      <c r="AD128" s="355"/>
      <c r="AE128" s="355"/>
      <c r="AF128" s="355"/>
      <c r="AG128" s="111"/>
      <c r="AH128" s="355"/>
    </row>
    <row r="129" spans="1:34" ht="15.75" customHeight="1" thickBot="1" x14ac:dyDescent="0.25">
      <c r="A129" s="380"/>
      <c r="B129" s="376"/>
      <c r="C129" s="357" t="s">
        <v>8</v>
      </c>
      <c r="D129" s="358" t="s">
        <v>78</v>
      </c>
      <c r="E129" s="355">
        <v>1.4999999999999999E-2</v>
      </c>
      <c r="F129" s="355">
        <v>1.4999999999999999E-2</v>
      </c>
      <c r="G129" s="355">
        <v>1.4999999999999999E-2</v>
      </c>
      <c r="H129" s="355">
        <v>1.4999999999999999E-2</v>
      </c>
      <c r="I129" s="111"/>
      <c r="J129" s="355">
        <v>1.4999999999999999E-2</v>
      </c>
      <c r="K129" s="355">
        <v>1.4999999999999999E-2</v>
      </c>
      <c r="L129" s="355">
        <v>1.4999999999999999E-2</v>
      </c>
      <c r="M129" s="355">
        <v>1.4999999999999999E-2</v>
      </c>
      <c r="N129" s="355">
        <v>1.4999999999999999E-2</v>
      </c>
      <c r="O129" s="111"/>
      <c r="P129" s="355">
        <v>1.4999999999999999E-2</v>
      </c>
      <c r="Q129" s="355">
        <v>1.4999999999999999E-2</v>
      </c>
      <c r="R129" s="355">
        <v>1.4999999999999999E-2</v>
      </c>
      <c r="S129" s="355">
        <v>1.4999999999999999E-2</v>
      </c>
      <c r="T129" s="355">
        <v>1.4999999999999999E-2</v>
      </c>
      <c r="U129" s="111"/>
      <c r="V129" s="355">
        <v>1.4999999999999999E-2</v>
      </c>
      <c r="W129" s="355">
        <v>1.4999999999999999E-2</v>
      </c>
      <c r="X129" s="355">
        <v>1.4999999999999999E-2</v>
      </c>
      <c r="Y129" s="355">
        <v>1.4999999999999999E-2</v>
      </c>
      <c r="Z129" s="355">
        <v>1.4999999999999999E-2</v>
      </c>
      <c r="AA129" s="111"/>
      <c r="AB129" s="355">
        <v>1.4999999999999999E-2</v>
      </c>
      <c r="AC129" s="355">
        <v>1.4999999999999999E-2</v>
      </c>
      <c r="AD129" s="355">
        <v>1.4999999999999999E-2</v>
      </c>
      <c r="AE129" s="355">
        <v>1.4999999999999999E-2</v>
      </c>
      <c r="AF129" s="355">
        <v>1.4999999999999999E-2</v>
      </c>
      <c r="AG129" s="111"/>
      <c r="AH129" s="355">
        <v>1.4999999999999999E-2</v>
      </c>
    </row>
    <row r="130" spans="1:34" ht="15.75" customHeight="1" thickBot="1" x14ac:dyDescent="0.25">
      <c r="A130" s="380"/>
      <c r="B130" s="376"/>
      <c r="C130" s="357"/>
      <c r="D130" s="354"/>
      <c r="E130" s="355"/>
      <c r="F130" s="355"/>
      <c r="G130" s="355"/>
      <c r="H130" s="355"/>
      <c r="I130" s="111"/>
      <c r="J130" s="355"/>
      <c r="K130" s="355"/>
      <c r="L130" s="355"/>
      <c r="M130" s="355"/>
      <c r="N130" s="355"/>
      <c r="O130" s="111"/>
      <c r="P130" s="355"/>
      <c r="Q130" s="355"/>
      <c r="R130" s="355"/>
      <c r="S130" s="355"/>
      <c r="T130" s="355"/>
      <c r="U130" s="111"/>
      <c r="V130" s="355"/>
      <c r="W130" s="355"/>
      <c r="X130" s="355"/>
      <c r="Y130" s="355"/>
      <c r="Z130" s="355"/>
      <c r="AA130" s="111"/>
      <c r="AB130" s="355"/>
      <c r="AC130" s="355"/>
      <c r="AD130" s="355"/>
      <c r="AE130" s="355"/>
      <c r="AF130" s="355"/>
      <c r="AG130" s="111"/>
      <c r="AH130" s="355"/>
    </row>
    <row r="131" spans="1:34" ht="15.75" customHeight="1" thickBot="1" x14ac:dyDescent="0.25">
      <c r="A131" s="380"/>
      <c r="B131" s="376" t="s">
        <v>138</v>
      </c>
      <c r="C131" s="357" t="s">
        <v>26</v>
      </c>
      <c r="D131" s="358" t="s">
        <v>78</v>
      </c>
      <c r="E131" s="355">
        <v>5.0000000000000001E-3</v>
      </c>
      <c r="F131" s="355">
        <v>5.0000000000000001E-3</v>
      </c>
      <c r="G131" s="355">
        <v>5.0000000000000001E-3</v>
      </c>
      <c r="H131" s="355">
        <v>5.0000000000000001E-3</v>
      </c>
      <c r="I131" s="111"/>
      <c r="J131" s="355">
        <v>5.0000000000000001E-3</v>
      </c>
      <c r="K131" s="355">
        <v>5.0000000000000001E-3</v>
      </c>
      <c r="L131" s="355">
        <v>5.0000000000000001E-3</v>
      </c>
      <c r="M131" s="355">
        <v>5.0000000000000001E-3</v>
      </c>
      <c r="N131" s="355">
        <v>5.0000000000000001E-3</v>
      </c>
      <c r="O131" s="111"/>
      <c r="P131" s="355">
        <v>5.0000000000000001E-3</v>
      </c>
      <c r="Q131" s="355">
        <v>5.0000000000000001E-3</v>
      </c>
      <c r="R131" s="355">
        <v>5.0000000000000001E-3</v>
      </c>
      <c r="S131" s="355">
        <v>5.0000000000000001E-3</v>
      </c>
      <c r="T131" s="355">
        <v>5.0000000000000001E-3</v>
      </c>
      <c r="U131" s="111"/>
      <c r="V131" s="355">
        <v>5.0000000000000001E-3</v>
      </c>
      <c r="W131" s="355">
        <v>5.0000000000000001E-3</v>
      </c>
      <c r="X131" s="355">
        <v>5.0000000000000001E-3</v>
      </c>
      <c r="Y131" s="355">
        <v>5.0000000000000001E-3</v>
      </c>
      <c r="Z131" s="355">
        <v>5.0000000000000001E-3</v>
      </c>
      <c r="AA131" s="111"/>
      <c r="AB131" s="355">
        <v>5.0000000000000001E-3</v>
      </c>
      <c r="AC131" s="355">
        <v>5.0000000000000001E-3</v>
      </c>
      <c r="AD131" s="355">
        <v>5.0000000000000001E-3</v>
      </c>
      <c r="AE131" s="355">
        <v>5.0000000000000001E-3</v>
      </c>
      <c r="AF131" s="355">
        <v>5.0000000000000001E-3</v>
      </c>
      <c r="AG131" s="111"/>
      <c r="AH131" s="355">
        <v>5.0000000000000001E-3</v>
      </c>
    </row>
    <row r="132" spans="1:34" ht="15.75" customHeight="1" thickBot="1" x14ac:dyDescent="0.25">
      <c r="A132" s="380"/>
      <c r="B132" s="376"/>
      <c r="C132" s="357"/>
      <c r="D132" s="354"/>
      <c r="E132" s="355"/>
      <c r="F132" s="355"/>
      <c r="G132" s="355"/>
      <c r="H132" s="355"/>
      <c r="I132" s="111"/>
      <c r="J132" s="355"/>
      <c r="K132" s="355"/>
      <c r="L132" s="355"/>
      <c r="M132" s="355"/>
      <c r="N132" s="355"/>
      <c r="O132" s="111"/>
      <c r="P132" s="355"/>
      <c r="Q132" s="355"/>
      <c r="R132" s="355"/>
      <c r="S132" s="355"/>
      <c r="T132" s="355"/>
      <c r="U132" s="111"/>
      <c r="V132" s="355"/>
      <c r="W132" s="355"/>
      <c r="X132" s="355"/>
      <c r="Y132" s="355"/>
      <c r="Z132" s="355"/>
      <c r="AA132" s="111"/>
      <c r="AB132" s="355"/>
      <c r="AC132" s="355"/>
      <c r="AD132" s="355"/>
      <c r="AE132" s="355"/>
      <c r="AF132" s="355"/>
      <c r="AG132" s="111"/>
      <c r="AH132" s="355"/>
    </row>
    <row r="133" spans="1:34" ht="15.75" customHeight="1" thickBot="1" x14ac:dyDescent="0.25">
      <c r="A133" s="380"/>
      <c r="B133" s="376"/>
      <c r="C133" s="357" t="s">
        <v>7</v>
      </c>
      <c r="D133" s="358" t="s">
        <v>78</v>
      </c>
      <c r="E133" s="351">
        <v>0.02</v>
      </c>
      <c r="F133" s="351">
        <v>0.02</v>
      </c>
      <c r="G133" s="351">
        <v>0.02</v>
      </c>
      <c r="H133" s="351">
        <v>0.02</v>
      </c>
      <c r="I133" s="111"/>
      <c r="J133" s="351">
        <v>0.02</v>
      </c>
      <c r="K133" s="351">
        <v>0.02</v>
      </c>
      <c r="L133" s="351">
        <v>0.02</v>
      </c>
      <c r="M133" s="351">
        <v>0.02</v>
      </c>
      <c r="N133" s="351">
        <v>0.02</v>
      </c>
      <c r="O133" s="111"/>
      <c r="P133" s="351">
        <v>0.02</v>
      </c>
      <c r="Q133" s="351">
        <v>0.02</v>
      </c>
      <c r="R133" s="351">
        <v>0.02</v>
      </c>
      <c r="S133" s="351">
        <v>0.02</v>
      </c>
      <c r="T133" s="351">
        <v>0.02</v>
      </c>
      <c r="U133" s="111"/>
      <c r="V133" s="351">
        <v>0.02</v>
      </c>
      <c r="W133" s="351">
        <v>0.02</v>
      </c>
      <c r="X133" s="351">
        <v>0.02</v>
      </c>
      <c r="Y133" s="351">
        <v>0.02</v>
      </c>
      <c r="Z133" s="351">
        <v>0.02</v>
      </c>
      <c r="AA133" s="111"/>
      <c r="AB133" s="351">
        <v>0.02</v>
      </c>
      <c r="AC133" s="351">
        <v>0.02</v>
      </c>
      <c r="AD133" s="351">
        <v>0.02</v>
      </c>
      <c r="AE133" s="351">
        <v>0.02</v>
      </c>
      <c r="AF133" s="351">
        <v>0.02</v>
      </c>
      <c r="AG133" s="111"/>
      <c r="AH133" s="351">
        <v>0.02</v>
      </c>
    </row>
    <row r="134" spans="1:34" ht="15.75" customHeight="1" thickBot="1" x14ac:dyDescent="0.25">
      <c r="A134" s="380"/>
      <c r="B134" s="376"/>
      <c r="C134" s="357"/>
      <c r="D134" s="354"/>
      <c r="E134" s="351"/>
      <c r="F134" s="351"/>
      <c r="G134" s="351"/>
      <c r="H134" s="351"/>
      <c r="I134" s="111"/>
      <c r="J134" s="351"/>
      <c r="K134" s="351"/>
      <c r="L134" s="351"/>
      <c r="M134" s="351"/>
      <c r="N134" s="351"/>
      <c r="O134" s="111"/>
      <c r="P134" s="351"/>
      <c r="Q134" s="351"/>
      <c r="R134" s="351"/>
      <c r="S134" s="351"/>
      <c r="T134" s="351"/>
      <c r="U134" s="111"/>
      <c r="V134" s="351"/>
      <c r="W134" s="351"/>
      <c r="X134" s="351"/>
      <c r="Y134" s="351"/>
      <c r="Z134" s="351"/>
      <c r="AA134" s="111"/>
      <c r="AB134" s="351"/>
      <c r="AC134" s="351"/>
      <c r="AD134" s="351"/>
      <c r="AE134" s="351"/>
      <c r="AF134" s="351"/>
      <c r="AG134" s="111"/>
      <c r="AH134" s="351"/>
    </row>
    <row r="135" spans="1:34" ht="15.75" customHeight="1" thickBot="1" x14ac:dyDescent="0.25">
      <c r="A135" s="380"/>
      <c r="B135" s="376"/>
      <c r="C135" s="357" t="s">
        <v>8</v>
      </c>
      <c r="D135" s="358" t="s">
        <v>78</v>
      </c>
      <c r="E135" s="355">
        <v>1.4999999999999999E-2</v>
      </c>
      <c r="F135" s="355">
        <v>1.4999999999999999E-2</v>
      </c>
      <c r="G135" s="355">
        <v>1.4999999999999999E-2</v>
      </c>
      <c r="H135" s="355">
        <v>1.4999999999999999E-2</v>
      </c>
      <c r="I135" s="111"/>
      <c r="J135" s="355">
        <v>1.4999999999999999E-2</v>
      </c>
      <c r="K135" s="355">
        <v>1.4999999999999999E-2</v>
      </c>
      <c r="L135" s="355">
        <v>1.4999999999999999E-2</v>
      </c>
      <c r="M135" s="355">
        <v>1.4999999999999999E-2</v>
      </c>
      <c r="N135" s="355">
        <v>1.4999999999999999E-2</v>
      </c>
      <c r="O135" s="111"/>
      <c r="P135" s="355">
        <v>1.4999999999999999E-2</v>
      </c>
      <c r="Q135" s="355">
        <v>1.4999999999999999E-2</v>
      </c>
      <c r="R135" s="355">
        <v>1.4999999999999999E-2</v>
      </c>
      <c r="S135" s="355">
        <v>1.4999999999999999E-2</v>
      </c>
      <c r="T135" s="355">
        <v>1.4999999999999999E-2</v>
      </c>
      <c r="U135" s="111"/>
      <c r="V135" s="355">
        <v>1.4999999999999999E-2</v>
      </c>
      <c r="W135" s="355">
        <v>1.4999999999999999E-2</v>
      </c>
      <c r="X135" s="355">
        <v>1.4999999999999999E-2</v>
      </c>
      <c r="Y135" s="355">
        <v>1.4999999999999999E-2</v>
      </c>
      <c r="Z135" s="355">
        <v>1.4999999999999999E-2</v>
      </c>
      <c r="AA135" s="111"/>
      <c r="AB135" s="355">
        <v>1.4999999999999999E-2</v>
      </c>
      <c r="AC135" s="355">
        <v>1.4999999999999999E-2</v>
      </c>
      <c r="AD135" s="355">
        <v>1.4999999999999999E-2</v>
      </c>
      <c r="AE135" s="355">
        <v>1.4999999999999999E-2</v>
      </c>
      <c r="AF135" s="355">
        <v>1.4999999999999999E-2</v>
      </c>
      <c r="AG135" s="111"/>
      <c r="AH135" s="355">
        <v>1.4999999999999999E-2</v>
      </c>
    </row>
    <row r="136" spans="1:34" ht="15.75" customHeight="1" thickBot="1" x14ac:dyDescent="0.25">
      <c r="A136" s="380"/>
      <c r="B136" s="376"/>
      <c r="C136" s="357"/>
      <c r="D136" s="354"/>
      <c r="E136" s="355"/>
      <c r="F136" s="355"/>
      <c r="G136" s="355"/>
      <c r="H136" s="355"/>
      <c r="I136" s="111"/>
      <c r="J136" s="355"/>
      <c r="K136" s="355"/>
      <c r="L136" s="355"/>
      <c r="M136" s="355"/>
      <c r="N136" s="355"/>
      <c r="O136" s="111"/>
      <c r="P136" s="355"/>
      <c r="Q136" s="355"/>
      <c r="R136" s="355"/>
      <c r="S136" s="355"/>
      <c r="T136" s="355"/>
      <c r="U136" s="111"/>
      <c r="V136" s="355"/>
      <c r="W136" s="355"/>
      <c r="X136" s="355"/>
      <c r="Y136" s="355"/>
      <c r="Z136" s="355"/>
      <c r="AA136" s="111"/>
      <c r="AB136" s="355"/>
      <c r="AC136" s="355"/>
      <c r="AD136" s="355"/>
      <c r="AE136" s="355"/>
      <c r="AF136" s="355"/>
      <c r="AG136" s="111"/>
      <c r="AH136" s="355"/>
    </row>
    <row r="137" spans="1:34" ht="15.75" customHeight="1" thickBot="1" x14ac:dyDescent="0.25">
      <c r="A137" s="380"/>
      <c r="B137" s="376" t="s">
        <v>87</v>
      </c>
      <c r="C137" s="376" t="s">
        <v>6</v>
      </c>
      <c r="D137" s="358" t="s">
        <v>78</v>
      </c>
      <c r="E137" s="355">
        <v>2.0000000000000001E-4</v>
      </c>
      <c r="F137" s="355">
        <v>2.0000000000000001E-4</v>
      </c>
      <c r="G137" s="355">
        <v>2.0000000000000001E-4</v>
      </c>
      <c r="H137" s="355">
        <v>2.0000000000000001E-4</v>
      </c>
      <c r="I137" s="111"/>
      <c r="J137" s="355">
        <v>2.0000000000000001E-4</v>
      </c>
      <c r="K137" s="355">
        <v>2.0000000000000001E-4</v>
      </c>
      <c r="L137" s="355">
        <v>2.0000000000000001E-4</v>
      </c>
      <c r="M137" s="355">
        <v>2.0000000000000001E-4</v>
      </c>
      <c r="N137" s="355">
        <v>2.0000000000000001E-4</v>
      </c>
      <c r="O137" s="111"/>
      <c r="P137" s="355">
        <v>2.0000000000000001E-4</v>
      </c>
      <c r="Q137" s="355">
        <v>2.0000000000000001E-4</v>
      </c>
      <c r="R137" s="355">
        <v>2.0000000000000001E-4</v>
      </c>
      <c r="S137" s="355">
        <v>2.0000000000000001E-4</v>
      </c>
      <c r="T137" s="355">
        <v>2.0000000000000001E-4</v>
      </c>
      <c r="U137" s="111"/>
      <c r="V137" s="355">
        <v>2.0000000000000001E-4</v>
      </c>
      <c r="W137" s="355">
        <v>2.0000000000000001E-4</v>
      </c>
      <c r="X137" s="355">
        <v>2.0000000000000001E-4</v>
      </c>
      <c r="Y137" s="355">
        <v>2.0000000000000001E-4</v>
      </c>
      <c r="Z137" s="355">
        <v>2.0000000000000001E-4</v>
      </c>
      <c r="AA137" s="111"/>
      <c r="AB137" s="355">
        <v>2.0000000000000001E-4</v>
      </c>
      <c r="AC137" s="355">
        <v>2.0000000000000001E-4</v>
      </c>
      <c r="AD137" s="355">
        <v>2.0000000000000001E-4</v>
      </c>
      <c r="AE137" s="355">
        <v>2.0000000000000001E-4</v>
      </c>
      <c r="AF137" s="355">
        <v>2.0000000000000001E-4</v>
      </c>
      <c r="AG137" s="111"/>
      <c r="AH137" s="355">
        <v>2.0000000000000001E-4</v>
      </c>
    </row>
    <row r="138" spans="1:34" ht="15.75" customHeight="1" thickBot="1" x14ac:dyDescent="0.25">
      <c r="A138" s="380"/>
      <c r="B138" s="376"/>
      <c r="C138" s="376"/>
      <c r="D138" s="354"/>
      <c r="E138" s="355"/>
      <c r="F138" s="355"/>
      <c r="G138" s="355"/>
      <c r="H138" s="355"/>
      <c r="I138" s="111"/>
      <c r="J138" s="355"/>
      <c r="K138" s="355"/>
      <c r="L138" s="355"/>
      <c r="M138" s="355"/>
      <c r="N138" s="355"/>
      <c r="O138" s="111"/>
      <c r="P138" s="355"/>
      <c r="Q138" s="355"/>
      <c r="R138" s="355"/>
      <c r="S138" s="355"/>
      <c r="T138" s="355"/>
      <c r="U138" s="111"/>
      <c r="V138" s="355"/>
      <c r="W138" s="355"/>
      <c r="X138" s="355"/>
      <c r="Y138" s="355"/>
      <c r="Z138" s="355"/>
      <c r="AA138" s="111"/>
      <c r="AB138" s="355"/>
      <c r="AC138" s="355"/>
      <c r="AD138" s="355"/>
      <c r="AE138" s="355"/>
      <c r="AF138" s="355"/>
      <c r="AG138" s="111"/>
      <c r="AH138" s="355"/>
    </row>
    <row r="139" spans="1:34" ht="15.75" customHeight="1" thickBot="1" x14ac:dyDescent="0.25">
      <c r="A139" s="380"/>
      <c r="B139" s="376"/>
      <c r="C139" s="376" t="s">
        <v>7</v>
      </c>
      <c r="D139" s="358" t="s">
        <v>78</v>
      </c>
      <c r="E139" s="351">
        <v>0.01</v>
      </c>
      <c r="F139" s="351">
        <v>0.01</v>
      </c>
      <c r="G139" s="351">
        <v>0.01</v>
      </c>
      <c r="H139" s="351">
        <v>0.01</v>
      </c>
      <c r="I139" s="111"/>
      <c r="J139" s="351">
        <v>0.01</v>
      </c>
      <c r="K139" s="351">
        <v>0.01</v>
      </c>
      <c r="L139" s="351">
        <v>0.01</v>
      </c>
      <c r="M139" s="351">
        <v>0.01</v>
      </c>
      <c r="N139" s="351">
        <v>0.01</v>
      </c>
      <c r="O139" s="111"/>
      <c r="P139" s="351">
        <v>0.01</v>
      </c>
      <c r="Q139" s="351">
        <v>0.01</v>
      </c>
      <c r="R139" s="351">
        <v>0.01</v>
      </c>
      <c r="S139" s="351">
        <v>0.01</v>
      </c>
      <c r="T139" s="351">
        <v>0.01</v>
      </c>
      <c r="U139" s="111"/>
      <c r="V139" s="351">
        <v>0.01</v>
      </c>
      <c r="W139" s="351">
        <v>0.01</v>
      </c>
      <c r="X139" s="351">
        <v>0.01</v>
      </c>
      <c r="Y139" s="351">
        <v>0.01</v>
      </c>
      <c r="Z139" s="351">
        <v>0.01</v>
      </c>
      <c r="AA139" s="111"/>
      <c r="AB139" s="351">
        <v>0.01</v>
      </c>
      <c r="AC139" s="351">
        <v>0.01</v>
      </c>
      <c r="AD139" s="351">
        <v>0.01</v>
      </c>
      <c r="AE139" s="351">
        <v>0.01</v>
      </c>
      <c r="AF139" s="351">
        <v>0.01</v>
      </c>
      <c r="AG139" s="111"/>
      <c r="AH139" s="351">
        <v>0.01</v>
      </c>
    </row>
    <row r="140" spans="1:34" ht="15.75" customHeight="1" thickBot="1" x14ac:dyDescent="0.25">
      <c r="A140" s="380"/>
      <c r="B140" s="376"/>
      <c r="C140" s="376"/>
      <c r="D140" s="354"/>
      <c r="E140" s="351"/>
      <c r="F140" s="351"/>
      <c r="G140" s="351"/>
      <c r="H140" s="351"/>
      <c r="I140" s="111"/>
      <c r="J140" s="351"/>
      <c r="K140" s="351"/>
      <c r="L140" s="351"/>
      <c r="M140" s="351"/>
      <c r="N140" s="351"/>
      <c r="O140" s="111"/>
      <c r="P140" s="351"/>
      <c r="Q140" s="351"/>
      <c r="R140" s="351"/>
      <c r="S140" s="351"/>
      <c r="T140" s="351"/>
      <c r="U140" s="111"/>
      <c r="V140" s="351"/>
      <c r="W140" s="351"/>
      <c r="X140" s="351"/>
      <c r="Y140" s="351"/>
      <c r="Z140" s="351"/>
      <c r="AA140" s="111"/>
      <c r="AB140" s="351"/>
      <c r="AC140" s="351"/>
      <c r="AD140" s="351"/>
      <c r="AE140" s="351"/>
      <c r="AF140" s="351"/>
      <c r="AG140" s="111"/>
      <c r="AH140" s="351"/>
    </row>
    <row r="141" spans="1:34" ht="15.75" customHeight="1" thickBot="1" x14ac:dyDescent="0.25">
      <c r="A141" s="380"/>
      <c r="B141" s="376"/>
      <c r="C141" s="376" t="s">
        <v>8</v>
      </c>
      <c r="D141" s="358" t="s">
        <v>78</v>
      </c>
      <c r="E141" s="355">
        <v>5.0000000000000001E-3</v>
      </c>
      <c r="F141" s="355">
        <v>5.0000000000000001E-3</v>
      </c>
      <c r="G141" s="355">
        <v>5.0000000000000001E-3</v>
      </c>
      <c r="H141" s="355">
        <v>5.0000000000000001E-3</v>
      </c>
      <c r="I141" s="111"/>
      <c r="J141" s="355">
        <v>5.0000000000000001E-3</v>
      </c>
      <c r="K141" s="355">
        <v>5.0000000000000001E-3</v>
      </c>
      <c r="L141" s="355">
        <v>5.0000000000000001E-3</v>
      </c>
      <c r="M141" s="355">
        <v>5.0000000000000001E-3</v>
      </c>
      <c r="N141" s="355">
        <v>5.0000000000000001E-3</v>
      </c>
      <c r="O141" s="111"/>
      <c r="P141" s="355">
        <v>5.0000000000000001E-3</v>
      </c>
      <c r="Q141" s="355">
        <v>5.0000000000000001E-3</v>
      </c>
      <c r="R141" s="355">
        <v>5.0000000000000001E-3</v>
      </c>
      <c r="S141" s="355">
        <v>5.0000000000000001E-3</v>
      </c>
      <c r="T141" s="355">
        <v>5.0000000000000001E-3</v>
      </c>
      <c r="U141" s="111"/>
      <c r="V141" s="355">
        <v>5.0000000000000001E-3</v>
      </c>
      <c r="W141" s="355">
        <v>5.0000000000000001E-3</v>
      </c>
      <c r="X141" s="355">
        <v>5.0000000000000001E-3</v>
      </c>
      <c r="Y141" s="355">
        <v>5.0000000000000001E-3</v>
      </c>
      <c r="Z141" s="355">
        <v>5.0000000000000001E-3</v>
      </c>
      <c r="AA141" s="111"/>
      <c r="AB141" s="355">
        <v>5.0000000000000001E-3</v>
      </c>
      <c r="AC141" s="355">
        <v>5.0000000000000001E-3</v>
      </c>
      <c r="AD141" s="355">
        <v>5.0000000000000001E-3</v>
      </c>
      <c r="AE141" s="355">
        <v>5.0000000000000001E-3</v>
      </c>
      <c r="AF141" s="355">
        <v>5.0000000000000001E-3</v>
      </c>
      <c r="AG141" s="111"/>
      <c r="AH141" s="355">
        <v>5.0000000000000001E-3</v>
      </c>
    </row>
    <row r="142" spans="1:34" ht="15.75" customHeight="1" thickBot="1" x14ac:dyDescent="0.25">
      <c r="A142" s="380"/>
      <c r="B142" s="376"/>
      <c r="C142" s="376"/>
      <c r="D142" s="354"/>
      <c r="E142" s="355"/>
      <c r="F142" s="355"/>
      <c r="G142" s="355"/>
      <c r="H142" s="355"/>
      <c r="I142" s="111"/>
      <c r="J142" s="355"/>
      <c r="K142" s="355"/>
      <c r="L142" s="355"/>
      <c r="M142" s="355"/>
      <c r="N142" s="355"/>
      <c r="O142" s="111"/>
      <c r="P142" s="355"/>
      <c r="Q142" s="355"/>
      <c r="R142" s="355"/>
      <c r="S142" s="355"/>
      <c r="T142" s="355"/>
      <c r="U142" s="111"/>
      <c r="V142" s="355"/>
      <c r="W142" s="355"/>
      <c r="X142" s="355"/>
      <c r="Y142" s="355"/>
      <c r="Z142" s="355"/>
      <c r="AA142" s="111"/>
      <c r="AB142" s="355"/>
      <c r="AC142" s="355"/>
      <c r="AD142" s="355"/>
      <c r="AE142" s="355"/>
      <c r="AF142" s="355"/>
      <c r="AG142" s="111"/>
      <c r="AH142" s="355"/>
    </row>
    <row r="143" spans="1:34" ht="15.75" customHeight="1" thickBot="1" x14ac:dyDescent="0.25">
      <c r="A143" s="380"/>
      <c r="B143" s="376" t="s">
        <v>139</v>
      </c>
      <c r="C143" s="123" t="s">
        <v>6</v>
      </c>
      <c r="D143" s="109" t="s">
        <v>135</v>
      </c>
      <c r="E143" s="108">
        <v>5</v>
      </c>
      <c r="F143" s="108">
        <v>5</v>
      </c>
      <c r="G143" s="108">
        <v>5</v>
      </c>
      <c r="H143" s="108">
        <v>5</v>
      </c>
      <c r="I143" s="111"/>
      <c r="J143" s="122">
        <v>20</v>
      </c>
      <c r="K143" s="108">
        <v>5</v>
      </c>
      <c r="L143" s="108">
        <v>5</v>
      </c>
      <c r="M143" s="108">
        <v>5</v>
      </c>
      <c r="N143" s="108">
        <v>5</v>
      </c>
      <c r="O143" s="111"/>
      <c r="P143" s="122">
        <v>20</v>
      </c>
      <c r="Q143" s="108">
        <v>5</v>
      </c>
      <c r="R143" s="108">
        <v>5</v>
      </c>
      <c r="S143" s="108">
        <v>5</v>
      </c>
      <c r="T143" s="108">
        <v>5</v>
      </c>
      <c r="U143" s="111"/>
      <c r="V143" s="122">
        <v>20</v>
      </c>
      <c r="W143" s="108">
        <v>5</v>
      </c>
      <c r="X143" s="108">
        <v>5</v>
      </c>
      <c r="Y143" s="108">
        <v>5</v>
      </c>
      <c r="Z143" s="108">
        <v>5</v>
      </c>
      <c r="AA143" s="111"/>
      <c r="AB143" s="122">
        <v>20</v>
      </c>
      <c r="AC143" s="108">
        <v>5</v>
      </c>
      <c r="AD143" s="108">
        <v>5</v>
      </c>
      <c r="AE143" s="108">
        <v>5</v>
      </c>
      <c r="AF143" s="108">
        <v>5</v>
      </c>
      <c r="AG143" s="111"/>
      <c r="AH143" s="122">
        <v>20</v>
      </c>
    </row>
    <row r="144" spans="1:34" ht="10.8" thickBot="1" x14ac:dyDescent="0.25">
      <c r="A144" s="380"/>
      <c r="B144" s="376"/>
      <c r="C144" s="123" t="s">
        <v>7</v>
      </c>
      <c r="D144" s="109" t="s">
        <v>135</v>
      </c>
      <c r="E144" s="108">
        <v>0</v>
      </c>
      <c r="F144" s="108">
        <v>0</v>
      </c>
      <c r="G144" s="109">
        <v>0</v>
      </c>
      <c r="H144" s="109">
        <v>1</v>
      </c>
      <c r="I144" s="111"/>
      <c r="J144" s="122">
        <v>1</v>
      </c>
      <c r="K144" s="108">
        <v>0</v>
      </c>
      <c r="L144" s="108">
        <v>0</v>
      </c>
      <c r="M144" s="109">
        <v>0</v>
      </c>
      <c r="N144" s="109">
        <v>1</v>
      </c>
      <c r="O144" s="111"/>
      <c r="P144" s="122">
        <v>1</v>
      </c>
      <c r="Q144" s="108">
        <v>0</v>
      </c>
      <c r="R144" s="108">
        <v>0</v>
      </c>
      <c r="S144" s="109">
        <v>0</v>
      </c>
      <c r="T144" s="109">
        <v>1</v>
      </c>
      <c r="U144" s="111"/>
      <c r="V144" s="122">
        <v>1</v>
      </c>
      <c r="W144" s="108">
        <v>0</v>
      </c>
      <c r="X144" s="108">
        <v>0</v>
      </c>
      <c r="Y144" s="109">
        <v>0</v>
      </c>
      <c r="Z144" s="109">
        <v>1</v>
      </c>
      <c r="AA144" s="111"/>
      <c r="AB144" s="122">
        <v>1</v>
      </c>
      <c r="AC144" s="108">
        <v>0</v>
      </c>
      <c r="AD144" s="108">
        <v>0</v>
      </c>
      <c r="AE144" s="109">
        <v>0</v>
      </c>
      <c r="AF144" s="109">
        <v>1</v>
      </c>
      <c r="AG144" s="111"/>
      <c r="AH144" s="122">
        <v>1</v>
      </c>
    </row>
    <row r="145" spans="1:34" ht="10.8" thickBot="1" x14ac:dyDescent="0.25">
      <c r="A145" s="380"/>
      <c r="B145" s="376"/>
      <c r="C145" s="123" t="s">
        <v>8</v>
      </c>
      <c r="D145" s="109" t="s">
        <v>135</v>
      </c>
      <c r="E145" s="108">
        <v>2</v>
      </c>
      <c r="F145" s="108">
        <v>2</v>
      </c>
      <c r="G145" s="108">
        <v>2</v>
      </c>
      <c r="H145" s="108">
        <v>4</v>
      </c>
      <c r="I145" s="111"/>
      <c r="J145" s="122">
        <v>10</v>
      </c>
      <c r="K145" s="108">
        <v>2</v>
      </c>
      <c r="L145" s="108">
        <v>2</v>
      </c>
      <c r="M145" s="108">
        <v>2</v>
      </c>
      <c r="N145" s="108">
        <v>4</v>
      </c>
      <c r="O145" s="111"/>
      <c r="P145" s="122">
        <v>10</v>
      </c>
      <c r="Q145" s="108">
        <v>2</v>
      </c>
      <c r="R145" s="108">
        <v>2</v>
      </c>
      <c r="S145" s="108">
        <v>2</v>
      </c>
      <c r="T145" s="108">
        <v>4</v>
      </c>
      <c r="U145" s="111"/>
      <c r="V145" s="122">
        <v>10</v>
      </c>
      <c r="W145" s="108">
        <v>2</v>
      </c>
      <c r="X145" s="108">
        <v>2</v>
      </c>
      <c r="Y145" s="108">
        <v>2</v>
      </c>
      <c r="Z145" s="108">
        <v>4</v>
      </c>
      <c r="AA145" s="111"/>
      <c r="AB145" s="122">
        <v>10</v>
      </c>
      <c r="AC145" s="108">
        <v>2</v>
      </c>
      <c r="AD145" s="108">
        <v>2</v>
      </c>
      <c r="AE145" s="108">
        <v>2</v>
      </c>
      <c r="AF145" s="108">
        <v>4</v>
      </c>
      <c r="AG145" s="111"/>
      <c r="AH145" s="122">
        <v>10</v>
      </c>
    </row>
    <row r="146" spans="1:34" ht="15.75" customHeight="1" thickBot="1" x14ac:dyDescent="0.25">
      <c r="A146" s="380"/>
      <c r="B146" s="376" t="s">
        <v>140</v>
      </c>
      <c r="C146" s="357" t="s">
        <v>26</v>
      </c>
      <c r="D146" s="358" t="s">
        <v>78</v>
      </c>
      <c r="E146" s="351">
        <v>0.5</v>
      </c>
      <c r="F146" s="351">
        <v>0.5</v>
      </c>
      <c r="G146" s="351">
        <v>0.5</v>
      </c>
      <c r="H146" s="351">
        <v>0.5</v>
      </c>
      <c r="I146" s="111"/>
      <c r="J146" s="351">
        <v>0.5</v>
      </c>
      <c r="K146" s="351">
        <v>0.5</v>
      </c>
      <c r="L146" s="351">
        <v>0.5</v>
      </c>
      <c r="M146" s="351">
        <v>0.5</v>
      </c>
      <c r="N146" s="351">
        <v>0.5</v>
      </c>
      <c r="O146" s="111"/>
      <c r="P146" s="351">
        <v>0.5</v>
      </c>
      <c r="Q146" s="351">
        <v>0.5</v>
      </c>
      <c r="R146" s="351">
        <v>0.5</v>
      </c>
      <c r="S146" s="351">
        <v>0.5</v>
      </c>
      <c r="T146" s="351">
        <v>0.5</v>
      </c>
      <c r="U146" s="111"/>
      <c r="V146" s="351">
        <v>0.5</v>
      </c>
      <c r="W146" s="351">
        <v>0.5</v>
      </c>
      <c r="X146" s="351">
        <v>0.5</v>
      </c>
      <c r="Y146" s="351">
        <v>0.5</v>
      </c>
      <c r="Z146" s="351">
        <v>0.5</v>
      </c>
      <c r="AA146" s="111"/>
      <c r="AB146" s="351">
        <v>0.5</v>
      </c>
      <c r="AC146" s="351">
        <v>0.5</v>
      </c>
      <c r="AD146" s="351">
        <v>0.5</v>
      </c>
      <c r="AE146" s="351">
        <v>0.5</v>
      </c>
      <c r="AF146" s="351">
        <v>0.5</v>
      </c>
      <c r="AG146" s="111"/>
      <c r="AH146" s="351">
        <v>0.5</v>
      </c>
    </row>
    <row r="147" spans="1:34" ht="15.75" customHeight="1" thickBot="1" x14ac:dyDescent="0.25">
      <c r="A147" s="380"/>
      <c r="B147" s="376"/>
      <c r="C147" s="357"/>
      <c r="D147" s="354"/>
      <c r="E147" s="351"/>
      <c r="F147" s="351"/>
      <c r="G147" s="351"/>
      <c r="H147" s="351"/>
      <c r="I147" s="111"/>
      <c r="J147" s="351"/>
      <c r="K147" s="351"/>
      <c r="L147" s="351"/>
      <c r="M147" s="351"/>
      <c r="N147" s="351"/>
      <c r="O147" s="111"/>
      <c r="P147" s="351"/>
      <c r="Q147" s="351"/>
      <c r="R147" s="351"/>
      <c r="S147" s="351"/>
      <c r="T147" s="351"/>
      <c r="U147" s="111"/>
      <c r="V147" s="351"/>
      <c r="W147" s="351"/>
      <c r="X147" s="351"/>
      <c r="Y147" s="351"/>
      <c r="Z147" s="351"/>
      <c r="AA147" s="111"/>
      <c r="AB147" s="351"/>
      <c r="AC147" s="351"/>
      <c r="AD147" s="351"/>
      <c r="AE147" s="351"/>
      <c r="AF147" s="351"/>
      <c r="AG147" s="111"/>
      <c r="AH147" s="351"/>
    </row>
    <row r="148" spans="1:34" ht="15.75" customHeight="1" thickBot="1" x14ac:dyDescent="0.25">
      <c r="A148" s="380"/>
      <c r="B148" s="376"/>
      <c r="C148" s="387" t="s">
        <v>7</v>
      </c>
      <c r="D148" s="358" t="s">
        <v>78</v>
      </c>
      <c r="E148" s="351">
        <v>1</v>
      </c>
      <c r="F148" s="351">
        <v>1</v>
      </c>
      <c r="G148" s="351">
        <v>1</v>
      </c>
      <c r="H148" s="351">
        <v>1</v>
      </c>
      <c r="I148" s="111"/>
      <c r="J148" s="351">
        <v>1</v>
      </c>
      <c r="K148" s="351">
        <v>1</v>
      </c>
      <c r="L148" s="351">
        <v>1</v>
      </c>
      <c r="M148" s="351">
        <v>1</v>
      </c>
      <c r="N148" s="351">
        <v>1</v>
      </c>
      <c r="O148" s="111"/>
      <c r="P148" s="351">
        <v>1</v>
      </c>
      <c r="Q148" s="351">
        <v>1</v>
      </c>
      <c r="R148" s="351">
        <v>1</v>
      </c>
      <c r="S148" s="351">
        <v>1</v>
      </c>
      <c r="T148" s="351">
        <v>1</v>
      </c>
      <c r="U148" s="111"/>
      <c r="V148" s="351">
        <v>1</v>
      </c>
      <c r="W148" s="351">
        <v>1</v>
      </c>
      <c r="X148" s="351">
        <v>1</v>
      </c>
      <c r="Y148" s="351">
        <v>1</v>
      </c>
      <c r="Z148" s="351">
        <v>1</v>
      </c>
      <c r="AA148" s="111"/>
      <c r="AB148" s="351">
        <v>1</v>
      </c>
      <c r="AC148" s="351">
        <v>1</v>
      </c>
      <c r="AD148" s="351">
        <v>1</v>
      </c>
      <c r="AE148" s="351">
        <v>1</v>
      </c>
      <c r="AF148" s="351">
        <v>1</v>
      </c>
      <c r="AG148" s="111"/>
      <c r="AH148" s="351">
        <v>1</v>
      </c>
    </row>
    <row r="149" spans="1:34" ht="15.75" customHeight="1" thickBot="1" x14ac:dyDescent="0.25">
      <c r="A149" s="380"/>
      <c r="B149" s="376"/>
      <c r="C149" s="387"/>
      <c r="D149" s="354"/>
      <c r="E149" s="351"/>
      <c r="F149" s="351"/>
      <c r="G149" s="351"/>
      <c r="H149" s="351"/>
      <c r="I149" s="111"/>
      <c r="J149" s="351"/>
      <c r="K149" s="351"/>
      <c r="L149" s="351"/>
      <c r="M149" s="351"/>
      <c r="N149" s="351"/>
      <c r="O149" s="111"/>
      <c r="P149" s="351"/>
      <c r="Q149" s="351"/>
      <c r="R149" s="351"/>
      <c r="S149" s="351"/>
      <c r="T149" s="351"/>
      <c r="U149" s="111"/>
      <c r="V149" s="351"/>
      <c r="W149" s="351"/>
      <c r="X149" s="351"/>
      <c r="Y149" s="351"/>
      <c r="Z149" s="351"/>
      <c r="AA149" s="111"/>
      <c r="AB149" s="351"/>
      <c r="AC149" s="351"/>
      <c r="AD149" s="351"/>
      <c r="AE149" s="351"/>
      <c r="AF149" s="351"/>
      <c r="AG149" s="111"/>
      <c r="AH149" s="351"/>
    </row>
    <row r="150" spans="1:34" ht="15.75" customHeight="1" thickBot="1" x14ac:dyDescent="0.25">
      <c r="A150" s="380"/>
      <c r="B150" s="376"/>
      <c r="C150" s="357" t="s">
        <v>8</v>
      </c>
      <c r="D150" s="358" t="s">
        <v>78</v>
      </c>
      <c r="E150" s="351">
        <v>0.5</v>
      </c>
      <c r="F150" s="351">
        <v>0.5</v>
      </c>
      <c r="G150" s="351">
        <v>0.5</v>
      </c>
      <c r="H150" s="351">
        <v>0.5</v>
      </c>
      <c r="I150" s="111"/>
      <c r="J150" s="351">
        <v>0.5</v>
      </c>
      <c r="K150" s="351">
        <v>0.5</v>
      </c>
      <c r="L150" s="351">
        <v>0.5</v>
      </c>
      <c r="M150" s="351">
        <v>0.5</v>
      </c>
      <c r="N150" s="351">
        <v>0.5</v>
      </c>
      <c r="O150" s="111"/>
      <c r="P150" s="351">
        <v>0.5</v>
      </c>
      <c r="Q150" s="351">
        <v>0.5</v>
      </c>
      <c r="R150" s="351">
        <v>0.5</v>
      </c>
      <c r="S150" s="351">
        <v>0.5</v>
      </c>
      <c r="T150" s="351">
        <v>0.5</v>
      </c>
      <c r="U150" s="111"/>
      <c r="V150" s="351">
        <v>0.5</v>
      </c>
      <c r="W150" s="351">
        <v>0.5</v>
      </c>
      <c r="X150" s="351">
        <v>0.5</v>
      </c>
      <c r="Y150" s="351">
        <v>0.5</v>
      </c>
      <c r="Z150" s="351">
        <v>0.5</v>
      </c>
      <c r="AA150" s="111"/>
      <c r="AB150" s="351">
        <v>0.5</v>
      </c>
      <c r="AC150" s="351">
        <v>0.5</v>
      </c>
      <c r="AD150" s="351">
        <v>0.5</v>
      </c>
      <c r="AE150" s="351">
        <v>0.5</v>
      </c>
      <c r="AF150" s="351">
        <v>0.5</v>
      </c>
      <c r="AG150" s="111"/>
      <c r="AH150" s="351">
        <v>0.5</v>
      </c>
    </row>
    <row r="151" spans="1:34" ht="15.75" customHeight="1" thickBot="1" x14ac:dyDescent="0.25">
      <c r="A151" s="411"/>
      <c r="B151" s="376"/>
      <c r="C151" s="357"/>
      <c r="D151" s="354"/>
      <c r="E151" s="351"/>
      <c r="F151" s="351"/>
      <c r="G151" s="351"/>
      <c r="H151" s="351"/>
      <c r="I151" s="111"/>
      <c r="J151" s="351"/>
      <c r="K151" s="351"/>
      <c r="L151" s="351"/>
      <c r="M151" s="351"/>
      <c r="N151" s="351"/>
      <c r="O151" s="111"/>
      <c r="P151" s="351"/>
      <c r="Q151" s="351"/>
      <c r="R151" s="351"/>
      <c r="S151" s="351"/>
      <c r="T151" s="351"/>
      <c r="U151" s="111"/>
      <c r="V151" s="351"/>
      <c r="W151" s="351"/>
      <c r="X151" s="351"/>
      <c r="Y151" s="351"/>
      <c r="Z151" s="351"/>
      <c r="AA151" s="111"/>
      <c r="AB151" s="351"/>
      <c r="AC151" s="351"/>
      <c r="AD151" s="351"/>
      <c r="AE151" s="351"/>
      <c r="AF151" s="351"/>
      <c r="AG151" s="111"/>
      <c r="AH151" s="351"/>
    </row>
    <row r="152" spans="1:34" ht="10.8" thickBot="1" x14ac:dyDescent="0.25">
      <c r="A152" s="105">
        <v>1.6</v>
      </c>
      <c r="B152" s="398" t="s">
        <v>27</v>
      </c>
      <c r="C152" s="399"/>
      <c r="D152" s="363"/>
      <c r="E152" s="363"/>
      <c r="F152" s="363"/>
      <c r="G152" s="363"/>
      <c r="H152" s="363"/>
      <c r="I152" s="363"/>
      <c r="J152" s="363"/>
      <c r="K152" s="363"/>
      <c r="L152" s="363"/>
      <c r="M152" s="363"/>
      <c r="N152" s="363"/>
      <c r="O152" s="363"/>
      <c r="P152" s="363"/>
      <c r="Q152" s="363"/>
      <c r="R152" s="363"/>
      <c r="S152" s="363"/>
      <c r="T152" s="363"/>
      <c r="U152" s="363"/>
      <c r="V152" s="363"/>
      <c r="W152" s="363"/>
      <c r="X152" s="363"/>
      <c r="Y152" s="363"/>
      <c r="Z152" s="363"/>
      <c r="AA152" s="363"/>
      <c r="AB152" s="363"/>
      <c r="AC152" s="363"/>
      <c r="AD152" s="363"/>
      <c r="AE152" s="363"/>
      <c r="AF152" s="363"/>
      <c r="AG152" s="363"/>
      <c r="AH152" s="364"/>
    </row>
    <row r="153" spans="1:34" ht="15.75" customHeight="1" thickBot="1" x14ac:dyDescent="0.25">
      <c r="A153" s="393"/>
      <c r="B153" s="376" t="s">
        <v>126</v>
      </c>
      <c r="C153" s="357" t="s">
        <v>26</v>
      </c>
      <c r="D153" s="358" t="s">
        <v>78</v>
      </c>
      <c r="E153" s="355">
        <v>5.0000000000000001E-4</v>
      </c>
      <c r="F153" s="355">
        <v>5.0000000000000001E-4</v>
      </c>
      <c r="G153" s="355">
        <v>5.0000000000000001E-4</v>
      </c>
      <c r="H153" s="355">
        <v>5.0000000000000001E-4</v>
      </c>
      <c r="I153" s="114"/>
      <c r="J153" s="355">
        <v>5.0000000000000001E-4</v>
      </c>
      <c r="K153" s="355">
        <v>5.0000000000000001E-4</v>
      </c>
      <c r="L153" s="355">
        <v>5.0000000000000001E-4</v>
      </c>
      <c r="M153" s="355">
        <v>5.0000000000000001E-4</v>
      </c>
      <c r="N153" s="355">
        <v>5.0000000000000001E-4</v>
      </c>
      <c r="O153" s="111"/>
      <c r="P153" s="355">
        <v>5.0000000000000001E-4</v>
      </c>
      <c r="Q153" s="355">
        <v>5.0000000000000001E-4</v>
      </c>
      <c r="R153" s="355">
        <v>5.0000000000000001E-4</v>
      </c>
      <c r="S153" s="355">
        <v>5.0000000000000001E-4</v>
      </c>
      <c r="T153" s="355">
        <v>5.0000000000000001E-4</v>
      </c>
      <c r="U153" s="111"/>
      <c r="V153" s="355">
        <v>5.0000000000000001E-4</v>
      </c>
      <c r="W153" s="355">
        <v>5.0000000000000001E-4</v>
      </c>
      <c r="X153" s="355">
        <v>5.0000000000000001E-4</v>
      </c>
      <c r="Y153" s="355">
        <v>5.0000000000000001E-4</v>
      </c>
      <c r="Z153" s="355">
        <v>5.0000000000000001E-4</v>
      </c>
      <c r="AA153" s="111"/>
      <c r="AB153" s="355">
        <v>5.0000000000000001E-4</v>
      </c>
      <c r="AC153" s="355">
        <v>5.0000000000000001E-4</v>
      </c>
      <c r="AD153" s="355">
        <v>5.0000000000000001E-4</v>
      </c>
      <c r="AE153" s="355">
        <v>5.0000000000000001E-4</v>
      </c>
      <c r="AF153" s="355">
        <v>5.0000000000000001E-4</v>
      </c>
      <c r="AG153" s="111"/>
      <c r="AH153" s="355">
        <v>5.0000000000000001E-4</v>
      </c>
    </row>
    <row r="154" spans="1:34" ht="15.75" customHeight="1" thickBot="1" x14ac:dyDescent="0.25">
      <c r="A154" s="394"/>
      <c r="B154" s="376"/>
      <c r="C154" s="357"/>
      <c r="D154" s="354"/>
      <c r="E154" s="355"/>
      <c r="F154" s="355"/>
      <c r="G154" s="355"/>
      <c r="H154" s="355"/>
      <c r="I154" s="111"/>
      <c r="J154" s="355"/>
      <c r="K154" s="355"/>
      <c r="L154" s="355"/>
      <c r="M154" s="355"/>
      <c r="N154" s="355"/>
      <c r="O154" s="111"/>
      <c r="P154" s="355"/>
      <c r="Q154" s="355"/>
      <c r="R154" s="355"/>
      <c r="S154" s="355"/>
      <c r="T154" s="355"/>
      <c r="U154" s="111"/>
      <c r="V154" s="355"/>
      <c r="W154" s="355"/>
      <c r="X154" s="355"/>
      <c r="Y154" s="355"/>
      <c r="Z154" s="355"/>
      <c r="AA154" s="111"/>
      <c r="AB154" s="355"/>
      <c r="AC154" s="355"/>
      <c r="AD154" s="355"/>
      <c r="AE154" s="355"/>
      <c r="AF154" s="355"/>
      <c r="AG154" s="111"/>
      <c r="AH154" s="355"/>
    </row>
    <row r="155" spans="1:34" ht="15.75" customHeight="1" thickBot="1" x14ac:dyDescent="0.25">
      <c r="A155" s="394"/>
      <c r="B155" s="376"/>
      <c r="C155" s="357" t="s">
        <v>7</v>
      </c>
      <c r="D155" s="358" t="s">
        <v>78</v>
      </c>
      <c r="E155" s="351">
        <v>0.01</v>
      </c>
      <c r="F155" s="351">
        <v>0.01</v>
      </c>
      <c r="G155" s="351">
        <v>0.01</v>
      </c>
      <c r="H155" s="351">
        <v>0.01</v>
      </c>
      <c r="I155" s="111"/>
      <c r="J155" s="351">
        <v>0.01</v>
      </c>
      <c r="K155" s="351">
        <v>0.01</v>
      </c>
      <c r="L155" s="351">
        <v>0.01</v>
      </c>
      <c r="M155" s="351">
        <v>0.01</v>
      </c>
      <c r="N155" s="351">
        <v>0.01</v>
      </c>
      <c r="O155" s="111"/>
      <c r="P155" s="351">
        <v>0.01</v>
      </c>
      <c r="Q155" s="351">
        <v>0.01</v>
      </c>
      <c r="R155" s="351">
        <v>0.01</v>
      </c>
      <c r="S155" s="351">
        <v>0.01</v>
      </c>
      <c r="T155" s="351">
        <v>0.01</v>
      </c>
      <c r="U155" s="111"/>
      <c r="V155" s="351">
        <v>0.01</v>
      </c>
      <c r="W155" s="351">
        <v>0.01</v>
      </c>
      <c r="X155" s="351">
        <v>0.01</v>
      </c>
      <c r="Y155" s="351">
        <v>0.01</v>
      </c>
      <c r="Z155" s="351">
        <v>0.01</v>
      </c>
      <c r="AA155" s="111"/>
      <c r="AB155" s="351">
        <v>0.01</v>
      </c>
      <c r="AC155" s="351">
        <v>0.01</v>
      </c>
      <c r="AD155" s="351">
        <v>0.01</v>
      </c>
      <c r="AE155" s="351">
        <v>0.01</v>
      </c>
      <c r="AF155" s="351">
        <v>0.01</v>
      </c>
      <c r="AG155" s="111"/>
      <c r="AH155" s="351">
        <v>0.01</v>
      </c>
    </row>
    <row r="156" spans="1:34" ht="15.75" customHeight="1" thickBot="1" x14ac:dyDescent="0.25">
      <c r="A156" s="394"/>
      <c r="B156" s="376"/>
      <c r="C156" s="357"/>
      <c r="D156" s="354"/>
      <c r="E156" s="351"/>
      <c r="F156" s="351"/>
      <c r="G156" s="351"/>
      <c r="H156" s="351"/>
      <c r="I156" s="111"/>
      <c r="J156" s="351"/>
      <c r="K156" s="351"/>
      <c r="L156" s="351"/>
      <c r="M156" s="351"/>
      <c r="N156" s="351"/>
      <c r="O156" s="111"/>
      <c r="P156" s="351"/>
      <c r="Q156" s="351"/>
      <c r="R156" s="351"/>
      <c r="S156" s="351"/>
      <c r="T156" s="351"/>
      <c r="U156" s="111"/>
      <c r="V156" s="351"/>
      <c r="W156" s="351"/>
      <c r="X156" s="351"/>
      <c r="Y156" s="351"/>
      <c r="Z156" s="351"/>
      <c r="AA156" s="111"/>
      <c r="AB156" s="351"/>
      <c r="AC156" s="351"/>
      <c r="AD156" s="351"/>
      <c r="AE156" s="351"/>
      <c r="AF156" s="351"/>
      <c r="AG156" s="111"/>
      <c r="AH156" s="351"/>
    </row>
    <row r="157" spans="1:34" ht="15.75" customHeight="1" thickBot="1" x14ac:dyDescent="0.25">
      <c r="A157" s="394"/>
      <c r="B157" s="376"/>
      <c r="C157" s="357" t="s">
        <v>8</v>
      </c>
      <c r="D157" s="358" t="s">
        <v>78</v>
      </c>
      <c r="E157" s="351">
        <v>0.01</v>
      </c>
      <c r="F157" s="351">
        <v>0.01</v>
      </c>
      <c r="G157" s="351">
        <v>0.01</v>
      </c>
      <c r="H157" s="351">
        <v>0.01</v>
      </c>
      <c r="I157" s="111"/>
      <c r="J157" s="351">
        <v>0.01</v>
      </c>
      <c r="K157" s="351">
        <v>0.01</v>
      </c>
      <c r="L157" s="351">
        <v>0.01</v>
      </c>
      <c r="M157" s="351">
        <v>0.01</v>
      </c>
      <c r="N157" s="351">
        <v>0.01</v>
      </c>
      <c r="O157" s="111"/>
      <c r="P157" s="351">
        <v>0.01</v>
      </c>
      <c r="Q157" s="351">
        <v>0.01</v>
      </c>
      <c r="R157" s="351">
        <v>0.01</v>
      </c>
      <c r="S157" s="351">
        <v>0.01</v>
      </c>
      <c r="T157" s="351">
        <v>0.01</v>
      </c>
      <c r="U157" s="111"/>
      <c r="V157" s="351">
        <v>0.01</v>
      </c>
      <c r="W157" s="351">
        <v>0.01</v>
      </c>
      <c r="X157" s="351">
        <v>0.01</v>
      </c>
      <c r="Y157" s="351">
        <v>0.01</v>
      </c>
      <c r="Z157" s="351">
        <v>0.01</v>
      </c>
      <c r="AA157" s="111"/>
      <c r="AB157" s="351">
        <v>0.01</v>
      </c>
      <c r="AC157" s="351">
        <v>0.01</v>
      </c>
      <c r="AD157" s="351">
        <v>0.01</v>
      </c>
      <c r="AE157" s="351">
        <v>0.01</v>
      </c>
      <c r="AF157" s="351">
        <v>0.01</v>
      </c>
      <c r="AG157" s="111"/>
      <c r="AH157" s="351">
        <v>0.01</v>
      </c>
    </row>
    <row r="158" spans="1:34" ht="15.75" customHeight="1" thickBot="1" x14ac:dyDescent="0.25">
      <c r="A158" s="394"/>
      <c r="B158" s="376"/>
      <c r="C158" s="357"/>
      <c r="D158" s="354"/>
      <c r="E158" s="351"/>
      <c r="F158" s="351"/>
      <c r="G158" s="351"/>
      <c r="H158" s="351"/>
      <c r="I158" s="111"/>
      <c r="J158" s="351"/>
      <c r="K158" s="351"/>
      <c r="L158" s="351"/>
      <c r="M158" s="351"/>
      <c r="N158" s="351"/>
      <c r="O158" s="111"/>
      <c r="P158" s="351"/>
      <c r="Q158" s="351"/>
      <c r="R158" s="351"/>
      <c r="S158" s="351"/>
      <c r="T158" s="351"/>
      <c r="U158" s="111"/>
      <c r="V158" s="351"/>
      <c r="W158" s="351"/>
      <c r="X158" s="351"/>
      <c r="Y158" s="351"/>
      <c r="Z158" s="351"/>
      <c r="AA158" s="111"/>
      <c r="AB158" s="351"/>
      <c r="AC158" s="351"/>
      <c r="AD158" s="351"/>
      <c r="AE158" s="351"/>
      <c r="AF158" s="351"/>
      <c r="AG158" s="111"/>
      <c r="AH158" s="351"/>
    </row>
    <row r="159" spans="1:34" ht="15.75" customHeight="1" thickBot="1" x14ac:dyDescent="0.25">
      <c r="A159" s="394"/>
      <c r="B159" s="376" t="s">
        <v>127</v>
      </c>
      <c r="C159" s="357" t="s">
        <v>26</v>
      </c>
      <c r="D159" s="358" t="s">
        <v>78</v>
      </c>
      <c r="E159" s="355">
        <v>5.0000000000000001E-4</v>
      </c>
      <c r="F159" s="355">
        <v>5.0000000000000001E-4</v>
      </c>
      <c r="G159" s="355">
        <v>5.0000000000000001E-4</v>
      </c>
      <c r="H159" s="355">
        <v>5.0000000000000001E-4</v>
      </c>
      <c r="I159" s="111"/>
      <c r="J159" s="355">
        <v>5.0000000000000001E-4</v>
      </c>
      <c r="K159" s="355">
        <v>5.0000000000000001E-4</v>
      </c>
      <c r="L159" s="355">
        <v>5.0000000000000001E-4</v>
      </c>
      <c r="M159" s="355">
        <v>5.0000000000000001E-4</v>
      </c>
      <c r="N159" s="355">
        <v>5.0000000000000001E-4</v>
      </c>
      <c r="O159" s="111"/>
      <c r="P159" s="355">
        <v>5.0000000000000001E-4</v>
      </c>
      <c r="Q159" s="355">
        <v>5.0000000000000001E-4</v>
      </c>
      <c r="R159" s="355">
        <v>5.0000000000000001E-4</v>
      </c>
      <c r="S159" s="355">
        <v>5.0000000000000001E-4</v>
      </c>
      <c r="T159" s="355">
        <v>5.0000000000000001E-4</v>
      </c>
      <c r="U159" s="111"/>
      <c r="V159" s="355">
        <v>5.0000000000000001E-4</v>
      </c>
      <c r="W159" s="355">
        <v>5.0000000000000001E-4</v>
      </c>
      <c r="X159" s="355">
        <v>5.0000000000000001E-4</v>
      </c>
      <c r="Y159" s="355">
        <v>5.0000000000000001E-4</v>
      </c>
      <c r="Z159" s="355">
        <v>5.0000000000000001E-4</v>
      </c>
      <c r="AA159" s="111"/>
      <c r="AB159" s="355">
        <v>5.0000000000000001E-4</v>
      </c>
      <c r="AC159" s="355">
        <v>5.0000000000000001E-4</v>
      </c>
      <c r="AD159" s="355">
        <v>5.0000000000000001E-4</v>
      </c>
      <c r="AE159" s="355">
        <v>5.0000000000000001E-4</v>
      </c>
      <c r="AF159" s="355">
        <v>5.0000000000000001E-4</v>
      </c>
      <c r="AG159" s="111"/>
      <c r="AH159" s="355">
        <v>5.0000000000000001E-4</v>
      </c>
    </row>
    <row r="160" spans="1:34" ht="15.75" customHeight="1" thickBot="1" x14ac:dyDescent="0.25">
      <c r="A160" s="394"/>
      <c r="B160" s="376"/>
      <c r="C160" s="357"/>
      <c r="D160" s="354"/>
      <c r="E160" s="355"/>
      <c r="F160" s="355"/>
      <c r="G160" s="355"/>
      <c r="H160" s="355"/>
      <c r="I160" s="111"/>
      <c r="J160" s="355"/>
      <c r="K160" s="355"/>
      <c r="L160" s="355"/>
      <c r="M160" s="355"/>
      <c r="N160" s="355"/>
      <c r="O160" s="111"/>
      <c r="P160" s="355"/>
      <c r="Q160" s="355"/>
      <c r="R160" s="355"/>
      <c r="S160" s="355"/>
      <c r="T160" s="355"/>
      <c r="U160" s="111"/>
      <c r="V160" s="355"/>
      <c r="W160" s="355"/>
      <c r="X160" s="355"/>
      <c r="Y160" s="355"/>
      <c r="Z160" s="355"/>
      <c r="AA160" s="111"/>
      <c r="AB160" s="355"/>
      <c r="AC160" s="355"/>
      <c r="AD160" s="355"/>
      <c r="AE160" s="355"/>
      <c r="AF160" s="355"/>
      <c r="AG160" s="111"/>
      <c r="AH160" s="355"/>
    </row>
    <row r="161" spans="1:34" ht="15.75" customHeight="1" thickBot="1" x14ac:dyDescent="0.25">
      <c r="A161" s="394"/>
      <c r="B161" s="376"/>
      <c r="C161" s="357" t="s">
        <v>7</v>
      </c>
      <c r="D161" s="358" t="s">
        <v>78</v>
      </c>
      <c r="E161" s="351">
        <v>0.01</v>
      </c>
      <c r="F161" s="351">
        <v>0.01</v>
      </c>
      <c r="G161" s="351">
        <v>0.01</v>
      </c>
      <c r="H161" s="351">
        <v>0.01</v>
      </c>
      <c r="I161" s="111"/>
      <c r="J161" s="351">
        <v>0.01</v>
      </c>
      <c r="K161" s="351">
        <v>0.01</v>
      </c>
      <c r="L161" s="351">
        <v>0.01</v>
      </c>
      <c r="M161" s="351">
        <v>0.01</v>
      </c>
      <c r="N161" s="351">
        <v>0.01</v>
      </c>
      <c r="O161" s="111"/>
      <c r="P161" s="351">
        <v>0.01</v>
      </c>
      <c r="Q161" s="351">
        <v>0.01</v>
      </c>
      <c r="R161" s="351">
        <v>0.01</v>
      </c>
      <c r="S161" s="351">
        <v>0.01</v>
      </c>
      <c r="T161" s="351">
        <v>0.01</v>
      </c>
      <c r="U161" s="111"/>
      <c r="V161" s="351">
        <v>0.01</v>
      </c>
      <c r="W161" s="351">
        <v>0.01</v>
      </c>
      <c r="X161" s="351">
        <v>0.01</v>
      </c>
      <c r="Y161" s="351">
        <v>0.01</v>
      </c>
      <c r="Z161" s="351">
        <v>0.01</v>
      </c>
      <c r="AA161" s="111"/>
      <c r="AB161" s="351">
        <v>0.01</v>
      </c>
      <c r="AC161" s="351">
        <v>0.01</v>
      </c>
      <c r="AD161" s="351">
        <v>0.01</v>
      </c>
      <c r="AE161" s="351">
        <v>0.01</v>
      </c>
      <c r="AF161" s="351">
        <v>0.01</v>
      </c>
      <c r="AG161" s="111"/>
      <c r="AH161" s="351">
        <v>0.01</v>
      </c>
    </row>
    <row r="162" spans="1:34" ht="15.75" customHeight="1" thickBot="1" x14ac:dyDescent="0.25">
      <c r="A162" s="394"/>
      <c r="B162" s="376"/>
      <c r="C162" s="357"/>
      <c r="D162" s="354"/>
      <c r="E162" s="351"/>
      <c r="F162" s="351"/>
      <c r="G162" s="351"/>
      <c r="H162" s="351"/>
      <c r="I162" s="111"/>
      <c r="J162" s="351"/>
      <c r="K162" s="351"/>
      <c r="L162" s="351"/>
      <c r="M162" s="351"/>
      <c r="N162" s="351"/>
      <c r="O162" s="111"/>
      <c r="P162" s="351"/>
      <c r="Q162" s="351"/>
      <c r="R162" s="351"/>
      <c r="S162" s="351"/>
      <c r="T162" s="351"/>
      <c r="U162" s="111"/>
      <c r="V162" s="351"/>
      <c r="W162" s="351"/>
      <c r="X162" s="351"/>
      <c r="Y162" s="351"/>
      <c r="Z162" s="351"/>
      <c r="AA162" s="111"/>
      <c r="AB162" s="351"/>
      <c r="AC162" s="351"/>
      <c r="AD162" s="351"/>
      <c r="AE162" s="351"/>
      <c r="AF162" s="351"/>
      <c r="AG162" s="111"/>
      <c r="AH162" s="351"/>
    </row>
    <row r="163" spans="1:34" ht="15.75" customHeight="1" thickBot="1" x14ac:dyDescent="0.25">
      <c r="A163" s="394"/>
      <c r="B163" s="376"/>
      <c r="C163" s="357" t="s">
        <v>8</v>
      </c>
      <c r="D163" s="358" t="s">
        <v>78</v>
      </c>
      <c r="E163" s="351">
        <v>0.01</v>
      </c>
      <c r="F163" s="351">
        <v>0.01</v>
      </c>
      <c r="G163" s="351">
        <v>0.01</v>
      </c>
      <c r="H163" s="351">
        <v>0.01</v>
      </c>
      <c r="I163" s="111"/>
      <c r="J163" s="351">
        <v>0.01</v>
      </c>
      <c r="K163" s="351">
        <v>0.01</v>
      </c>
      <c r="L163" s="351">
        <v>0.01</v>
      </c>
      <c r="M163" s="351">
        <v>0.01</v>
      </c>
      <c r="N163" s="351">
        <v>0.01</v>
      </c>
      <c r="O163" s="111"/>
      <c r="P163" s="351">
        <v>0.01</v>
      </c>
      <c r="Q163" s="351">
        <v>0.01</v>
      </c>
      <c r="R163" s="351">
        <v>0.01</v>
      </c>
      <c r="S163" s="351">
        <v>0.01</v>
      </c>
      <c r="T163" s="351">
        <v>0.01</v>
      </c>
      <c r="U163" s="111"/>
      <c r="V163" s="351">
        <v>0.01</v>
      </c>
      <c r="W163" s="351">
        <v>0.01</v>
      </c>
      <c r="X163" s="351">
        <v>0.01</v>
      </c>
      <c r="Y163" s="351">
        <v>0.01</v>
      </c>
      <c r="Z163" s="351">
        <v>0.01</v>
      </c>
      <c r="AA163" s="111"/>
      <c r="AB163" s="351">
        <v>0.01</v>
      </c>
      <c r="AC163" s="351">
        <v>0.01</v>
      </c>
      <c r="AD163" s="351">
        <v>0.01</v>
      </c>
      <c r="AE163" s="351">
        <v>0.01</v>
      </c>
      <c r="AF163" s="351">
        <v>0.01</v>
      </c>
      <c r="AG163" s="111"/>
      <c r="AH163" s="351">
        <v>0.01</v>
      </c>
    </row>
    <row r="164" spans="1:34" ht="15.75" customHeight="1" thickBot="1" x14ac:dyDescent="0.25">
      <c r="A164" s="394"/>
      <c r="B164" s="376"/>
      <c r="C164" s="357"/>
      <c r="D164" s="354"/>
      <c r="E164" s="351"/>
      <c r="F164" s="351"/>
      <c r="G164" s="351"/>
      <c r="H164" s="351"/>
      <c r="I164" s="111"/>
      <c r="J164" s="351"/>
      <c r="K164" s="351"/>
      <c r="L164" s="351"/>
      <c r="M164" s="351"/>
      <c r="N164" s="351"/>
      <c r="O164" s="111"/>
      <c r="P164" s="351"/>
      <c r="Q164" s="351"/>
      <c r="R164" s="351"/>
      <c r="S164" s="351"/>
      <c r="T164" s="351"/>
      <c r="U164" s="111"/>
      <c r="V164" s="351"/>
      <c r="W164" s="351"/>
      <c r="X164" s="351"/>
      <c r="Y164" s="351"/>
      <c r="Z164" s="351"/>
      <c r="AA164" s="111"/>
      <c r="AB164" s="351"/>
      <c r="AC164" s="351"/>
      <c r="AD164" s="351"/>
      <c r="AE164" s="351"/>
      <c r="AF164" s="351"/>
      <c r="AG164" s="111"/>
      <c r="AH164" s="351"/>
    </row>
    <row r="165" spans="1:34" ht="15.75" customHeight="1" thickBot="1" x14ac:dyDescent="0.25">
      <c r="A165" s="394"/>
      <c r="B165" s="376" t="s">
        <v>128</v>
      </c>
      <c r="C165" s="387" t="s">
        <v>6</v>
      </c>
      <c r="D165" s="358" t="s">
        <v>78</v>
      </c>
      <c r="E165" s="351">
        <v>0</v>
      </c>
      <c r="F165" s="351">
        <v>0</v>
      </c>
      <c r="G165" s="351">
        <v>0</v>
      </c>
      <c r="H165" s="351">
        <v>0</v>
      </c>
      <c r="I165" s="111"/>
      <c r="J165" s="351">
        <v>0</v>
      </c>
      <c r="K165" s="351">
        <v>0</v>
      </c>
      <c r="L165" s="351">
        <v>0</v>
      </c>
      <c r="M165" s="351">
        <v>0</v>
      </c>
      <c r="N165" s="351">
        <v>0</v>
      </c>
      <c r="O165" s="111"/>
      <c r="P165" s="351">
        <v>0</v>
      </c>
      <c r="Q165" s="351">
        <v>0</v>
      </c>
      <c r="R165" s="351">
        <v>0</v>
      </c>
      <c r="S165" s="351">
        <v>0</v>
      </c>
      <c r="T165" s="351">
        <v>0</v>
      </c>
      <c r="U165" s="111"/>
      <c r="V165" s="351">
        <v>0</v>
      </c>
      <c r="W165" s="351">
        <v>0</v>
      </c>
      <c r="X165" s="351">
        <v>0</v>
      </c>
      <c r="Y165" s="351">
        <v>0</v>
      </c>
      <c r="Z165" s="351">
        <v>0</v>
      </c>
      <c r="AA165" s="111"/>
      <c r="AB165" s="351">
        <v>0</v>
      </c>
      <c r="AC165" s="351">
        <v>0</v>
      </c>
      <c r="AD165" s="351">
        <v>0</v>
      </c>
      <c r="AE165" s="351">
        <v>0</v>
      </c>
      <c r="AF165" s="351">
        <v>0</v>
      </c>
      <c r="AG165" s="111"/>
      <c r="AH165" s="351">
        <v>0</v>
      </c>
    </row>
    <row r="166" spans="1:34" ht="15.75" customHeight="1" thickBot="1" x14ac:dyDescent="0.25">
      <c r="A166" s="394"/>
      <c r="B166" s="376"/>
      <c r="C166" s="387"/>
      <c r="D166" s="354"/>
      <c r="E166" s="351"/>
      <c r="F166" s="351"/>
      <c r="G166" s="351"/>
      <c r="H166" s="351"/>
      <c r="I166" s="111"/>
      <c r="J166" s="351"/>
      <c r="K166" s="351"/>
      <c r="L166" s="351"/>
      <c r="M166" s="351"/>
      <c r="N166" s="351"/>
      <c r="O166" s="111"/>
      <c r="P166" s="351"/>
      <c r="Q166" s="351"/>
      <c r="R166" s="351"/>
      <c r="S166" s="351"/>
      <c r="T166" s="351"/>
      <c r="U166" s="111"/>
      <c r="V166" s="351"/>
      <c r="W166" s="351"/>
      <c r="X166" s="351"/>
      <c r="Y166" s="351"/>
      <c r="Z166" s="351"/>
      <c r="AA166" s="111"/>
      <c r="AB166" s="351"/>
      <c r="AC166" s="351"/>
      <c r="AD166" s="351"/>
      <c r="AE166" s="351"/>
      <c r="AF166" s="351"/>
      <c r="AG166" s="111"/>
      <c r="AH166" s="351"/>
    </row>
    <row r="167" spans="1:34" ht="15.75" customHeight="1" thickBot="1" x14ac:dyDescent="0.25">
      <c r="A167" s="394"/>
      <c r="B167" s="376"/>
      <c r="C167" s="387" t="s">
        <v>7</v>
      </c>
      <c r="D167" s="358" t="s">
        <v>78</v>
      </c>
      <c r="E167" s="351">
        <v>0</v>
      </c>
      <c r="F167" s="351">
        <v>0</v>
      </c>
      <c r="G167" s="351">
        <v>0</v>
      </c>
      <c r="H167" s="351">
        <v>0</v>
      </c>
      <c r="I167" s="111"/>
      <c r="J167" s="351">
        <v>0</v>
      </c>
      <c r="K167" s="351">
        <v>0</v>
      </c>
      <c r="L167" s="351">
        <v>0</v>
      </c>
      <c r="M167" s="351">
        <v>0</v>
      </c>
      <c r="N167" s="351">
        <v>0</v>
      </c>
      <c r="O167" s="111"/>
      <c r="P167" s="351">
        <v>0</v>
      </c>
      <c r="Q167" s="351">
        <v>0</v>
      </c>
      <c r="R167" s="351">
        <v>0</v>
      </c>
      <c r="S167" s="351">
        <v>0</v>
      </c>
      <c r="T167" s="351">
        <v>0</v>
      </c>
      <c r="U167" s="111"/>
      <c r="V167" s="351">
        <v>0</v>
      </c>
      <c r="W167" s="351">
        <v>0</v>
      </c>
      <c r="X167" s="351">
        <v>0</v>
      </c>
      <c r="Y167" s="351">
        <v>0</v>
      </c>
      <c r="Z167" s="351">
        <v>0</v>
      </c>
      <c r="AA167" s="111"/>
      <c r="AB167" s="351">
        <v>0</v>
      </c>
      <c r="AC167" s="351">
        <v>0</v>
      </c>
      <c r="AD167" s="351">
        <v>0</v>
      </c>
      <c r="AE167" s="351">
        <v>0</v>
      </c>
      <c r="AF167" s="351">
        <v>0</v>
      </c>
      <c r="AG167" s="111"/>
      <c r="AH167" s="351">
        <v>0</v>
      </c>
    </row>
    <row r="168" spans="1:34" ht="15.75" customHeight="1" thickBot="1" x14ac:dyDescent="0.25">
      <c r="A168" s="394"/>
      <c r="B168" s="376"/>
      <c r="C168" s="387"/>
      <c r="D168" s="354"/>
      <c r="E168" s="351"/>
      <c r="F168" s="351"/>
      <c r="G168" s="351"/>
      <c r="H168" s="351"/>
      <c r="I168" s="111"/>
      <c r="J168" s="351"/>
      <c r="K168" s="351"/>
      <c r="L168" s="351"/>
      <c r="M168" s="351"/>
      <c r="N168" s="351"/>
      <c r="O168" s="111"/>
      <c r="P168" s="351"/>
      <c r="Q168" s="351"/>
      <c r="R168" s="351"/>
      <c r="S168" s="351"/>
      <c r="T168" s="351"/>
      <c r="U168" s="111"/>
      <c r="V168" s="351"/>
      <c r="W168" s="351"/>
      <c r="X168" s="351"/>
      <c r="Y168" s="351"/>
      <c r="Z168" s="351"/>
      <c r="AA168" s="111"/>
      <c r="AB168" s="351"/>
      <c r="AC168" s="351"/>
      <c r="AD168" s="351"/>
      <c r="AE168" s="351"/>
      <c r="AF168" s="351"/>
      <c r="AG168" s="111"/>
      <c r="AH168" s="351"/>
    </row>
    <row r="169" spans="1:34" ht="15.75" customHeight="1" thickBot="1" x14ac:dyDescent="0.25">
      <c r="A169" s="394"/>
      <c r="B169" s="376"/>
      <c r="C169" s="387" t="s">
        <v>8</v>
      </c>
      <c r="D169" s="358" t="s">
        <v>78</v>
      </c>
      <c r="E169" s="351">
        <v>0</v>
      </c>
      <c r="F169" s="351">
        <v>0</v>
      </c>
      <c r="G169" s="351">
        <v>0</v>
      </c>
      <c r="H169" s="351">
        <v>0</v>
      </c>
      <c r="I169" s="111"/>
      <c r="J169" s="351">
        <v>0</v>
      </c>
      <c r="K169" s="351">
        <v>0</v>
      </c>
      <c r="L169" s="351">
        <v>0</v>
      </c>
      <c r="M169" s="351">
        <v>0</v>
      </c>
      <c r="N169" s="351">
        <v>0</v>
      </c>
      <c r="O169" s="111"/>
      <c r="P169" s="351">
        <v>0</v>
      </c>
      <c r="Q169" s="351">
        <v>0</v>
      </c>
      <c r="R169" s="351">
        <v>0</v>
      </c>
      <c r="S169" s="351">
        <v>0</v>
      </c>
      <c r="T169" s="351">
        <v>0</v>
      </c>
      <c r="U169" s="111"/>
      <c r="V169" s="351">
        <v>0</v>
      </c>
      <c r="W169" s="351">
        <v>0</v>
      </c>
      <c r="X169" s="351">
        <v>0</v>
      </c>
      <c r="Y169" s="351">
        <v>0</v>
      </c>
      <c r="Z169" s="351">
        <v>0</v>
      </c>
      <c r="AA169" s="111"/>
      <c r="AB169" s="351">
        <v>0</v>
      </c>
      <c r="AC169" s="351">
        <v>0</v>
      </c>
      <c r="AD169" s="351">
        <v>0</v>
      </c>
      <c r="AE169" s="351">
        <v>0</v>
      </c>
      <c r="AF169" s="351">
        <v>0</v>
      </c>
      <c r="AG169" s="111"/>
      <c r="AH169" s="351">
        <v>0</v>
      </c>
    </row>
    <row r="170" spans="1:34" ht="15.75" customHeight="1" thickBot="1" x14ac:dyDescent="0.25">
      <c r="A170" s="394"/>
      <c r="B170" s="376"/>
      <c r="C170" s="387"/>
      <c r="D170" s="354"/>
      <c r="E170" s="351"/>
      <c r="F170" s="351"/>
      <c r="G170" s="351"/>
      <c r="H170" s="351"/>
      <c r="I170" s="111"/>
      <c r="J170" s="351"/>
      <c r="K170" s="351"/>
      <c r="L170" s="351"/>
      <c r="M170" s="351"/>
      <c r="N170" s="351"/>
      <c r="O170" s="111"/>
      <c r="P170" s="351"/>
      <c r="Q170" s="351"/>
      <c r="R170" s="351"/>
      <c r="S170" s="351"/>
      <c r="T170" s="351"/>
      <c r="U170" s="111"/>
      <c r="V170" s="351"/>
      <c r="W170" s="351"/>
      <c r="X170" s="351"/>
      <c r="Y170" s="351"/>
      <c r="Z170" s="351"/>
      <c r="AA170" s="111"/>
      <c r="AB170" s="351"/>
      <c r="AC170" s="351"/>
      <c r="AD170" s="351"/>
      <c r="AE170" s="351"/>
      <c r="AF170" s="351"/>
      <c r="AG170" s="111"/>
      <c r="AH170" s="351"/>
    </row>
    <row r="171" spans="1:34" ht="15" customHeight="1" thickBot="1" x14ac:dyDescent="0.25">
      <c r="A171" s="395"/>
      <c r="B171" s="376" t="s">
        <v>88</v>
      </c>
      <c r="C171" s="387" t="s">
        <v>6</v>
      </c>
      <c r="D171" s="358" t="s">
        <v>78</v>
      </c>
      <c r="E171" s="351">
        <v>0</v>
      </c>
      <c r="F171" s="351">
        <v>0</v>
      </c>
      <c r="G171" s="351">
        <v>0</v>
      </c>
      <c r="H171" s="351">
        <v>0</v>
      </c>
      <c r="I171" s="111"/>
      <c r="J171" s="351">
        <v>0</v>
      </c>
      <c r="K171" s="351">
        <v>0</v>
      </c>
      <c r="L171" s="351">
        <v>0</v>
      </c>
      <c r="M171" s="351">
        <v>0</v>
      </c>
      <c r="N171" s="351">
        <v>0</v>
      </c>
      <c r="O171" s="111"/>
      <c r="P171" s="351">
        <v>0</v>
      </c>
      <c r="Q171" s="351">
        <v>0</v>
      </c>
      <c r="R171" s="351">
        <v>0</v>
      </c>
      <c r="S171" s="351">
        <v>0</v>
      </c>
      <c r="T171" s="351">
        <v>0</v>
      </c>
      <c r="U171" s="111"/>
      <c r="V171" s="351">
        <v>0</v>
      </c>
      <c r="W171" s="351">
        <v>0</v>
      </c>
      <c r="X171" s="351">
        <v>0</v>
      </c>
      <c r="Y171" s="351">
        <v>0</v>
      </c>
      <c r="Z171" s="351">
        <v>0</v>
      </c>
      <c r="AA171" s="111"/>
      <c r="AB171" s="351">
        <v>0</v>
      </c>
      <c r="AC171" s="351">
        <v>0</v>
      </c>
      <c r="AD171" s="351">
        <v>0</v>
      </c>
      <c r="AE171" s="351">
        <v>0</v>
      </c>
      <c r="AF171" s="351">
        <v>0</v>
      </c>
      <c r="AG171" s="111"/>
      <c r="AH171" s="351">
        <v>0</v>
      </c>
    </row>
    <row r="172" spans="1:34" ht="15.75" customHeight="1" thickBot="1" x14ac:dyDescent="0.25">
      <c r="A172" s="396"/>
      <c r="B172" s="376"/>
      <c r="C172" s="387"/>
      <c r="D172" s="354"/>
      <c r="E172" s="351"/>
      <c r="F172" s="351"/>
      <c r="G172" s="351"/>
      <c r="H172" s="351"/>
      <c r="I172" s="111"/>
      <c r="J172" s="351"/>
      <c r="K172" s="351"/>
      <c r="L172" s="351"/>
      <c r="M172" s="351"/>
      <c r="N172" s="351"/>
      <c r="O172" s="111"/>
      <c r="P172" s="351"/>
      <c r="Q172" s="351"/>
      <c r="R172" s="351"/>
      <c r="S172" s="351"/>
      <c r="T172" s="351"/>
      <c r="U172" s="111"/>
      <c r="V172" s="351"/>
      <c r="W172" s="351"/>
      <c r="X172" s="351"/>
      <c r="Y172" s="351"/>
      <c r="Z172" s="351"/>
      <c r="AA172" s="111"/>
      <c r="AB172" s="351"/>
      <c r="AC172" s="351"/>
      <c r="AD172" s="351"/>
      <c r="AE172" s="351"/>
      <c r="AF172" s="351"/>
      <c r="AG172" s="111"/>
      <c r="AH172" s="351"/>
    </row>
    <row r="173" spans="1:34" ht="15.75" customHeight="1" thickBot="1" x14ac:dyDescent="0.25">
      <c r="A173" s="396"/>
      <c r="B173" s="376"/>
      <c r="C173" s="387" t="s">
        <v>7</v>
      </c>
      <c r="D173" s="358" t="s">
        <v>78</v>
      </c>
      <c r="E173" s="351">
        <v>0</v>
      </c>
      <c r="F173" s="351">
        <v>0</v>
      </c>
      <c r="G173" s="351">
        <v>0</v>
      </c>
      <c r="H173" s="351">
        <v>0</v>
      </c>
      <c r="I173" s="111"/>
      <c r="J173" s="351">
        <v>0</v>
      </c>
      <c r="K173" s="351">
        <v>0</v>
      </c>
      <c r="L173" s="351">
        <v>0</v>
      </c>
      <c r="M173" s="351">
        <v>0</v>
      </c>
      <c r="N173" s="351">
        <v>0</v>
      </c>
      <c r="O173" s="111"/>
      <c r="P173" s="351">
        <v>0</v>
      </c>
      <c r="Q173" s="351">
        <v>0</v>
      </c>
      <c r="R173" s="351">
        <v>0</v>
      </c>
      <c r="S173" s="351">
        <v>0</v>
      </c>
      <c r="T173" s="351">
        <v>0</v>
      </c>
      <c r="U173" s="111"/>
      <c r="V173" s="351">
        <v>0</v>
      </c>
      <c r="W173" s="351">
        <v>0</v>
      </c>
      <c r="X173" s="351">
        <v>0</v>
      </c>
      <c r="Y173" s="351">
        <v>0</v>
      </c>
      <c r="Z173" s="351">
        <v>0</v>
      </c>
      <c r="AA173" s="111"/>
      <c r="AB173" s="351">
        <v>0</v>
      </c>
      <c r="AC173" s="351">
        <v>0</v>
      </c>
      <c r="AD173" s="351">
        <v>0</v>
      </c>
      <c r="AE173" s="351">
        <v>0</v>
      </c>
      <c r="AF173" s="351">
        <v>0</v>
      </c>
      <c r="AG173" s="111"/>
      <c r="AH173" s="351">
        <v>0</v>
      </c>
    </row>
    <row r="174" spans="1:34" ht="15.75" customHeight="1" thickBot="1" x14ac:dyDescent="0.25">
      <c r="A174" s="396"/>
      <c r="B174" s="376"/>
      <c r="C174" s="387"/>
      <c r="D174" s="354"/>
      <c r="E174" s="351"/>
      <c r="F174" s="351"/>
      <c r="G174" s="351"/>
      <c r="H174" s="351"/>
      <c r="I174" s="111"/>
      <c r="J174" s="351"/>
      <c r="K174" s="351"/>
      <c r="L174" s="351"/>
      <c r="M174" s="351"/>
      <c r="N174" s="351"/>
      <c r="O174" s="111"/>
      <c r="P174" s="351"/>
      <c r="Q174" s="351"/>
      <c r="R174" s="351"/>
      <c r="S174" s="351"/>
      <c r="T174" s="351"/>
      <c r="U174" s="111"/>
      <c r="V174" s="351"/>
      <c r="W174" s="351"/>
      <c r="X174" s="351"/>
      <c r="Y174" s="351"/>
      <c r="Z174" s="351"/>
      <c r="AA174" s="111"/>
      <c r="AB174" s="351"/>
      <c r="AC174" s="351"/>
      <c r="AD174" s="351"/>
      <c r="AE174" s="351"/>
      <c r="AF174" s="351"/>
      <c r="AG174" s="111"/>
      <c r="AH174" s="351"/>
    </row>
    <row r="175" spans="1:34" ht="15.75" customHeight="1" thickBot="1" x14ac:dyDescent="0.25">
      <c r="A175" s="396"/>
      <c r="B175" s="376"/>
      <c r="C175" s="387" t="s">
        <v>8</v>
      </c>
      <c r="D175" s="358" t="s">
        <v>78</v>
      </c>
      <c r="E175" s="351">
        <v>0</v>
      </c>
      <c r="F175" s="351">
        <v>0</v>
      </c>
      <c r="G175" s="351">
        <v>0</v>
      </c>
      <c r="H175" s="351">
        <v>0</v>
      </c>
      <c r="I175" s="111"/>
      <c r="J175" s="351">
        <v>0</v>
      </c>
      <c r="K175" s="351">
        <v>0</v>
      </c>
      <c r="L175" s="351">
        <v>0</v>
      </c>
      <c r="M175" s="351">
        <v>0</v>
      </c>
      <c r="N175" s="351">
        <v>0</v>
      </c>
      <c r="O175" s="111"/>
      <c r="P175" s="351">
        <v>0</v>
      </c>
      <c r="Q175" s="351">
        <v>0</v>
      </c>
      <c r="R175" s="351">
        <v>0</v>
      </c>
      <c r="S175" s="351">
        <v>0</v>
      </c>
      <c r="T175" s="351">
        <v>0</v>
      </c>
      <c r="U175" s="111"/>
      <c r="V175" s="351">
        <v>0</v>
      </c>
      <c r="W175" s="351">
        <v>0</v>
      </c>
      <c r="X175" s="351">
        <v>0</v>
      </c>
      <c r="Y175" s="351">
        <v>0</v>
      </c>
      <c r="Z175" s="351">
        <v>0</v>
      </c>
      <c r="AA175" s="111"/>
      <c r="AB175" s="351">
        <v>0</v>
      </c>
      <c r="AC175" s="351">
        <v>0</v>
      </c>
      <c r="AD175" s="351">
        <v>0</v>
      </c>
      <c r="AE175" s="351">
        <v>0</v>
      </c>
      <c r="AF175" s="351">
        <v>0</v>
      </c>
      <c r="AG175" s="111"/>
      <c r="AH175" s="351">
        <v>0</v>
      </c>
    </row>
    <row r="176" spans="1:34" ht="15.75" customHeight="1" thickBot="1" x14ac:dyDescent="0.25">
      <c r="A176" s="397"/>
      <c r="B176" s="376"/>
      <c r="C176" s="387"/>
      <c r="D176" s="354"/>
      <c r="E176" s="351"/>
      <c r="F176" s="351"/>
      <c r="G176" s="351"/>
      <c r="H176" s="351"/>
      <c r="I176" s="111"/>
      <c r="J176" s="351"/>
      <c r="K176" s="351"/>
      <c r="L176" s="351"/>
      <c r="M176" s="351"/>
      <c r="N176" s="351"/>
      <c r="O176" s="111"/>
      <c r="P176" s="351"/>
      <c r="Q176" s="351"/>
      <c r="R176" s="351"/>
      <c r="S176" s="351"/>
      <c r="T176" s="351"/>
      <c r="U176" s="111"/>
      <c r="V176" s="351"/>
      <c r="W176" s="351"/>
      <c r="X176" s="351"/>
      <c r="Y176" s="351"/>
      <c r="Z176" s="351"/>
      <c r="AA176" s="111"/>
      <c r="AB176" s="351"/>
      <c r="AC176" s="351"/>
      <c r="AD176" s="351"/>
      <c r="AE176" s="351"/>
      <c r="AF176" s="351"/>
      <c r="AG176" s="111"/>
      <c r="AH176" s="351"/>
    </row>
    <row r="177" spans="1:34" ht="18" customHeight="1" thickBot="1" x14ac:dyDescent="0.25">
      <c r="A177" s="395"/>
      <c r="B177" s="376" t="s">
        <v>141</v>
      </c>
      <c r="C177" s="387" t="s">
        <v>6</v>
      </c>
      <c r="D177" s="358" t="s">
        <v>78</v>
      </c>
      <c r="E177" s="351">
        <v>0</v>
      </c>
      <c r="F177" s="351">
        <v>0</v>
      </c>
      <c r="G177" s="351">
        <v>0</v>
      </c>
      <c r="H177" s="351">
        <v>0</v>
      </c>
      <c r="I177" s="111"/>
      <c r="J177" s="351">
        <v>0</v>
      </c>
      <c r="K177" s="351">
        <v>0</v>
      </c>
      <c r="L177" s="351">
        <v>0</v>
      </c>
      <c r="M177" s="351">
        <v>0</v>
      </c>
      <c r="N177" s="351">
        <v>0</v>
      </c>
      <c r="O177" s="111"/>
      <c r="P177" s="351">
        <v>0</v>
      </c>
      <c r="Q177" s="351">
        <v>0</v>
      </c>
      <c r="R177" s="351">
        <v>0</v>
      </c>
      <c r="S177" s="351">
        <v>0</v>
      </c>
      <c r="T177" s="351">
        <v>0</v>
      </c>
      <c r="U177" s="111"/>
      <c r="V177" s="351">
        <v>0</v>
      </c>
      <c r="W177" s="351">
        <v>0</v>
      </c>
      <c r="X177" s="351">
        <v>0</v>
      </c>
      <c r="Y177" s="351">
        <v>0</v>
      </c>
      <c r="Z177" s="351">
        <v>0</v>
      </c>
      <c r="AA177" s="111"/>
      <c r="AB177" s="351">
        <v>0</v>
      </c>
      <c r="AC177" s="351">
        <v>0</v>
      </c>
      <c r="AD177" s="351">
        <v>0</v>
      </c>
      <c r="AE177" s="351">
        <v>0</v>
      </c>
      <c r="AF177" s="351">
        <v>0</v>
      </c>
      <c r="AG177" s="111"/>
      <c r="AH177" s="351">
        <v>0</v>
      </c>
    </row>
    <row r="178" spans="1:34" ht="15.75" customHeight="1" thickBot="1" x14ac:dyDescent="0.25">
      <c r="A178" s="396"/>
      <c r="B178" s="376"/>
      <c r="C178" s="387"/>
      <c r="D178" s="354"/>
      <c r="E178" s="351"/>
      <c r="F178" s="351"/>
      <c r="G178" s="351"/>
      <c r="H178" s="351"/>
      <c r="I178" s="111"/>
      <c r="J178" s="351"/>
      <c r="K178" s="351"/>
      <c r="L178" s="351"/>
      <c r="M178" s="351"/>
      <c r="N178" s="351"/>
      <c r="O178" s="111"/>
      <c r="P178" s="351"/>
      <c r="Q178" s="351"/>
      <c r="R178" s="351"/>
      <c r="S178" s="351"/>
      <c r="T178" s="351"/>
      <c r="U178" s="111"/>
      <c r="V178" s="351"/>
      <c r="W178" s="351"/>
      <c r="X178" s="351"/>
      <c r="Y178" s="351"/>
      <c r="Z178" s="351"/>
      <c r="AA178" s="111"/>
      <c r="AB178" s="351"/>
      <c r="AC178" s="351"/>
      <c r="AD178" s="351"/>
      <c r="AE178" s="351"/>
      <c r="AF178" s="351"/>
      <c r="AG178" s="111"/>
      <c r="AH178" s="351"/>
    </row>
    <row r="179" spans="1:34" ht="15.75" customHeight="1" thickBot="1" x14ac:dyDescent="0.25">
      <c r="A179" s="396"/>
      <c r="B179" s="376"/>
      <c r="C179" s="387" t="s">
        <v>7</v>
      </c>
      <c r="D179" s="358" t="s">
        <v>78</v>
      </c>
      <c r="E179" s="351">
        <v>0</v>
      </c>
      <c r="F179" s="351">
        <v>0</v>
      </c>
      <c r="G179" s="351">
        <v>0</v>
      </c>
      <c r="H179" s="351">
        <v>0</v>
      </c>
      <c r="I179" s="111"/>
      <c r="J179" s="351">
        <v>0</v>
      </c>
      <c r="K179" s="351">
        <v>0</v>
      </c>
      <c r="L179" s="351">
        <v>0</v>
      </c>
      <c r="M179" s="351">
        <v>0</v>
      </c>
      <c r="N179" s="351">
        <v>0</v>
      </c>
      <c r="O179" s="111"/>
      <c r="P179" s="351">
        <v>0</v>
      </c>
      <c r="Q179" s="351">
        <v>0</v>
      </c>
      <c r="R179" s="351">
        <v>0</v>
      </c>
      <c r="S179" s="351">
        <v>0</v>
      </c>
      <c r="T179" s="351">
        <v>0</v>
      </c>
      <c r="U179" s="111"/>
      <c r="V179" s="351">
        <v>0</v>
      </c>
      <c r="W179" s="351">
        <v>0</v>
      </c>
      <c r="X179" s="351">
        <v>0</v>
      </c>
      <c r="Y179" s="351">
        <v>0</v>
      </c>
      <c r="Z179" s="351">
        <v>0</v>
      </c>
      <c r="AA179" s="111"/>
      <c r="AB179" s="351">
        <v>0</v>
      </c>
      <c r="AC179" s="351">
        <v>0</v>
      </c>
      <c r="AD179" s="351">
        <v>0</v>
      </c>
      <c r="AE179" s="351">
        <v>0</v>
      </c>
      <c r="AF179" s="351">
        <v>0</v>
      </c>
      <c r="AG179" s="111"/>
      <c r="AH179" s="351">
        <v>0</v>
      </c>
    </row>
    <row r="180" spans="1:34" ht="15.75" customHeight="1" thickBot="1" x14ac:dyDescent="0.25">
      <c r="A180" s="396"/>
      <c r="B180" s="376"/>
      <c r="C180" s="387"/>
      <c r="D180" s="354"/>
      <c r="E180" s="351"/>
      <c r="F180" s="351"/>
      <c r="G180" s="351"/>
      <c r="H180" s="351"/>
      <c r="I180" s="111"/>
      <c r="J180" s="351"/>
      <c r="K180" s="351"/>
      <c r="L180" s="351"/>
      <c r="M180" s="351"/>
      <c r="N180" s="351"/>
      <c r="O180" s="111"/>
      <c r="P180" s="351"/>
      <c r="Q180" s="351"/>
      <c r="R180" s="351"/>
      <c r="S180" s="351"/>
      <c r="T180" s="351"/>
      <c r="U180" s="111"/>
      <c r="V180" s="351"/>
      <c r="W180" s="351"/>
      <c r="X180" s="351"/>
      <c r="Y180" s="351"/>
      <c r="Z180" s="351"/>
      <c r="AA180" s="111"/>
      <c r="AB180" s="351"/>
      <c r="AC180" s="351"/>
      <c r="AD180" s="351"/>
      <c r="AE180" s="351"/>
      <c r="AF180" s="351"/>
      <c r="AG180" s="111"/>
      <c r="AH180" s="351"/>
    </row>
    <row r="181" spans="1:34" ht="15.75" customHeight="1" thickBot="1" x14ac:dyDescent="0.25">
      <c r="A181" s="396"/>
      <c r="B181" s="376"/>
      <c r="C181" s="387" t="s">
        <v>8</v>
      </c>
      <c r="D181" s="358" t="s">
        <v>78</v>
      </c>
      <c r="E181" s="351">
        <v>0</v>
      </c>
      <c r="F181" s="351">
        <v>0</v>
      </c>
      <c r="G181" s="351">
        <v>0</v>
      </c>
      <c r="H181" s="351">
        <v>0</v>
      </c>
      <c r="I181" s="111"/>
      <c r="J181" s="351">
        <v>0</v>
      </c>
      <c r="K181" s="351">
        <v>0</v>
      </c>
      <c r="L181" s="351">
        <v>0</v>
      </c>
      <c r="M181" s="351">
        <v>0</v>
      </c>
      <c r="N181" s="351">
        <v>0</v>
      </c>
      <c r="O181" s="111"/>
      <c r="P181" s="351">
        <v>0</v>
      </c>
      <c r="Q181" s="351">
        <v>0</v>
      </c>
      <c r="R181" s="351">
        <v>0</v>
      </c>
      <c r="S181" s="351">
        <v>0</v>
      </c>
      <c r="T181" s="351">
        <v>0</v>
      </c>
      <c r="U181" s="111"/>
      <c r="V181" s="351">
        <v>0</v>
      </c>
      <c r="W181" s="351">
        <v>0</v>
      </c>
      <c r="X181" s="351">
        <v>0</v>
      </c>
      <c r="Y181" s="351">
        <v>0</v>
      </c>
      <c r="Z181" s="351">
        <v>0</v>
      </c>
      <c r="AA181" s="111"/>
      <c r="AB181" s="351">
        <v>0</v>
      </c>
      <c r="AC181" s="351">
        <v>0</v>
      </c>
      <c r="AD181" s="351">
        <v>0</v>
      </c>
      <c r="AE181" s="351">
        <v>0</v>
      </c>
      <c r="AF181" s="351">
        <v>0</v>
      </c>
      <c r="AG181" s="111"/>
      <c r="AH181" s="351">
        <v>0</v>
      </c>
    </row>
    <row r="182" spans="1:34" ht="15.75" customHeight="1" thickBot="1" x14ac:dyDescent="0.25">
      <c r="A182" s="397"/>
      <c r="B182" s="376"/>
      <c r="C182" s="387"/>
      <c r="D182" s="354"/>
      <c r="E182" s="351"/>
      <c r="F182" s="351"/>
      <c r="G182" s="351"/>
      <c r="H182" s="351"/>
      <c r="I182" s="111"/>
      <c r="J182" s="351"/>
      <c r="K182" s="351"/>
      <c r="L182" s="351"/>
      <c r="M182" s="351"/>
      <c r="N182" s="351"/>
      <c r="O182" s="111"/>
      <c r="P182" s="351"/>
      <c r="Q182" s="351"/>
      <c r="R182" s="351"/>
      <c r="S182" s="351"/>
      <c r="T182" s="351"/>
      <c r="U182" s="111"/>
      <c r="V182" s="351"/>
      <c r="W182" s="351"/>
      <c r="X182" s="351"/>
      <c r="Y182" s="351"/>
      <c r="Z182" s="351"/>
      <c r="AA182" s="111"/>
      <c r="AB182" s="351"/>
      <c r="AC182" s="351"/>
      <c r="AD182" s="351"/>
      <c r="AE182" s="351"/>
      <c r="AF182" s="351"/>
      <c r="AG182" s="111"/>
      <c r="AH182" s="351"/>
    </row>
    <row r="183" spans="1:34" ht="18.75" customHeight="1" thickBot="1" x14ac:dyDescent="0.25">
      <c r="A183" s="396"/>
      <c r="B183" s="376" t="s">
        <v>89</v>
      </c>
      <c r="C183" s="387" t="s">
        <v>6</v>
      </c>
      <c r="D183" s="358" t="s">
        <v>78</v>
      </c>
      <c r="E183" s="355">
        <v>1E-3</v>
      </c>
      <c r="F183" s="355">
        <v>1E-3</v>
      </c>
      <c r="G183" s="355">
        <v>1E-3</v>
      </c>
      <c r="H183" s="355">
        <v>1E-3</v>
      </c>
      <c r="I183" s="111"/>
      <c r="J183" s="355">
        <v>1E-3</v>
      </c>
      <c r="K183" s="355">
        <v>1E-3</v>
      </c>
      <c r="L183" s="355">
        <v>1E-3</v>
      </c>
      <c r="M183" s="355">
        <v>1E-3</v>
      </c>
      <c r="N183" s="355">
        <v>1E-3</v>
      </c>
      <c r="O183" s="111"/>
      <c r="P183" s="355">
        <v>1E-3</v>
      </c>
      <c r="Q183" s="355">
        <v>1E-3</v>
      </c>
      <c r="R183" s="355">
        <v>1E-3</v>
      </c>
      <c r="S183" s="355">
        <v>1E-3</v>
      </c>
      <c r="T183" s="355">
        <v>1E-3</v>
      </c>
      <c r="U183" s="111"/>
      <c r="V183" s="355">
        <v>1E-3</v>
      </c>
      <c r="W183" s="355">
        <v>1E-3</v>
      </c>
      <c r="X183" s="355">
        <v>1E-3</v>
      </c>
      <c r="Y183" s="355">
        <v>1E-3</v>
      </c>
      <c r="Z183" s="355">
        <v>1E-3</v>
      </c>
      <c r="AA183" s="111"/>
      <c r="AB183" s="355">
        <v>1E-3</v>
      </c>
      <c r="AC183" s="355">
        <v>1E-3</v>
      </c>
      <c r="AD183" s="355">
        <v>1E-3</v>
      </c>
      <c r="AE183" s="355">
        <v>1E-3</v>
      </c>
      <c r="AF183" s="355">
        <v>1E-3</v>
      </c>
      <c r="AG183" s="111"/>
      <c r="AH183" s="355">
        <v>1E-3</v>
      </c>
    </row>
    <row r="184" spans="1:34" ht="15.75" customHeight="1" thickBot="1" x14ac:dyDescent="0.25">
      <c r="A184" s="396"/>
      <c r="B184" s="376"/>
      <c r="C184" s="387"/>
      <c r="D184" s="354"/>
      <c r="E184" s="355"/>
      <c r="F184" s="355"/>
      <c r="G184" s="355"/>
      <c r="H184" s="355"/>
      <c r="I184" s="111"/>
      <c r="J184" s="355"/>
      <c r="K184" s="355"/>
      <c r="L184" s="355"/>
      <c r="M184" s="355"/>
      <c r="N184" s="355"/>
      <c r="O184" s="111"/>
      <c r="P184" s="355"/>
      <c r="Q184" s="355"/>
      <c r="R184" s="355"/>
      <c r="S184" s="355"/>
      <c r="T184" s="355"/>
      <c r="U184" s="111"/>
      <c r="V184" s="355"/>
      <c r="W184" s="355"/>
      <c r="X184" s="355"/>
      <c r="Y184" s="355"/>
      <c r="Z184" s="355"/>
      <c r="AA184" s="111"/>
      <c r="AB184" s="355"/>
      <c r="AC184" s="355"/>
      <c r="AD184" s="355"/>
      <c r="AE184" s="355"/>
      <c r="AF184" s="355"/>
      <c r="AG184" s="111"/>
      <c r="AH184" s="355"/>
    </row>
    <row r="185" spans="1:34" ht="15.75" customHeight="1" thickBot="1" x14ac:dyDescent="0.25">
      <c r="A185" s="396"/>
      <c r="B185" s="376"/>
      <c r="C185" s="387" t="s">
        <v>7</v>
      </c>
      <c r="D185" s="358" t="s">
        <v>78</v>
      </c>
      <c r="E185" s="351">
        <v>0.01</v>
      </c>
      <c r="F185" s="351">
        <v>0.01</v>
      </c>
      <c r="G185" s="351">
        <v>0.01</v>
      </c>
      <c r="H185" s="351">
        <v>0.01</v>
      </c>
      <c r="I185" s="111"/>
      <c r="J185" s="351">
        <v>0.01</v>
      </c>
      <c r="K185" s="351">
        <v>0.01</v>
      </c>
      <c r="L185" s="351">
        <v>0.01</v>
      </c>
      <c r="M185" s="351">
        <v>0.01</v>
      </c>
      <c r="N185" s="351">
        <v>0.01</v>
      </c>
      <c r="O185" s="111"/>
      <c r="P185" s="351">
        <v>0.01</v>
      </c>
      <c r="Q185" s="351">
        <v>0.01</v>
      </c>
      <c r="R185" s="351">
        <v>0.01</v>
      </c>
      <c r="S185" s="351">
        <v>0.01</v>
      </c>
      <c r="T185" s="351">
        <v>0.01</v>
      </c>
      <c r="U185" s="111"/>
      <c r="V185" s="351">
        <v>0.01</v>
      </c>
      <c r="W185" s="351">
        <v>0.01</v>
      </c>
      <c r="X185" s="351">
        <v>0.01</v>
      </c>
      <c r="Y185" s="351">
        <v>0.01</v>
      </c>
      <c r="Z185" s="351">
        <v>0.01</v>
      </c>
      <c r="AA185" s="111"/>
      <c r="AB185" s="351">
        <v>0.01</v>
      </c>
      <c r="AC185" s="351">
        <v>0.01</v>
      </c>
      <c r="AD185" s="351">
        <v>0.01</v>
      </c>
      <c r="AE185" s="351">
        <v>0.01</v>
      </c>
      <c r="AF185" s="351">
        <v>0.01</v>
      </c>
      <c r="AG185" s="111"/>
      <c r="AH185" s="351">
        <v>0.01</v>
      </c>
    </row>
    <row r="186" spans="1:34" ht="15.75" customHeight="1" thickBot="1" x14ac:dyDescent="0.25">
      <c r="A186" s="396"/>
      <c r="B186" s="376"/>
      <c r="C186" s="387"/>
      <c r="D186" s="354"/>
      <c r="E186" s="351"/>
      <c r="F186" s="351"/>
      <c r="G186" s="351"/>
      <c r="H186" s="351"/>
      <c r="I186" s="111"/>
      <c r="J186" s="351"/>
      <c r="K186" s="351"/>
      <c r="L186" s="351"/>
      <c r="M186" s="351"/>
      <c r="N186" s="351"/>
      <c r="O186" s="111"/>
      <c r="P186" s="351"/>
      <c r="Q186" s="351"/>
      <c r="R186" s="351"/>
      <c r="S186" s="351"/>
      <c r="T186" s="351"/>
      <c r="U186" s="111"/>
      <c r="V186" s="351"/>
      <c r="W186" s="351"/>
      <c r="X186" s="351"/>
      <c r="Y186" s="351"/>
      <c r="Z186" s="351"/>
      <c r="AA186" s="111"/>
      <c r="AB186" s="351"/>
      <c r="AC186" s="351"/>
      <c r="AD186" s="351"/>
      <c r="AE186" s="351"/>
      <c r="AF186" s="351"/>
      <c r="AG186" s="111"/>
      <c r="AH186" s="351"/>
    </row>
    <row r="187" spans="1:34" ht="15.75" customHeight="1" thickBot="1" x14ac:dyDescent="0.25">
      <c r="A187" s="396"/>
      <c r="B187" s="376"/>
      <c r="C187" s="387" t="s">
        <v>8</v>
      </c>
      <c r="D187" s="358" t="s">
        <v>78</v>
      </c>
      <c r="E187" s="351">
        <v>0.01</v>
      </c>
      <c r="F187" s="351">
        <v>0.01</v>
      </c>
      <c r="G187" s="351">
        <v>0.01</v>
      </c>
      <c r="H187" s="351">
        <v>0.01</v>
      </c>
      <c r="I187" s="111"/>
      <c r="J187" s="351">
        <v>0.01</v>
      </c>
      <c r="K187" s="351">
        <v>0.01</v>
      </c>
      <c r="L187" s="351">
        <v>0.01</v>
      </c>
      <c r="M187" s="351">
        <v>0.01</v>
      </c>
      <c r="N187" s="351">
        <v>0.01</v>
      </c>
      <c r="O187" s="111"/>
      <c r="P187" s="351">
        <v>0.01</v>
      </c>
      <c r="Q187" s="351">
        <v>0.01</v>
      </c>
      <c r="R187" s="351">
        <v>0.01</v>
      </c>
      <c r="S187" s="351">
        <v>0.01</v>
      </c>
      <c r="T187" s="351">
        <v>0.01</v>
      </c>
      <c r="U187" s="111"/>
      <c r="V187" s="351">
        <v>0.01</v>
      </c>
      <c r="W187" s="351">
        <v>0.01</v>
      </c>
      <c r="X187" s="351">
        <v>0.01</v>
      </c>
      <c r="Y187" s="351">
        <v>0.01</v>
      </c>
      <c r="Z187" s="351">
        <v>0.01</v>
      </c>
      <c r="AA187" s="111"/>
      <c r="AB187" s="351">
        <v>0.01</v>
      </c>
      <c r="AC187" s="351">
        <v>0.01</v>
      </c>
      <c r="AD187" s="351">
        <v>0.01</v>
      </c>
      <c r="AE187" s="351">
        <v>0.01</v>
      </c>
      <c r="AF187" s="351">
        <v>0.01</v>
      </c>
      <c r="AG187" s="111"/>
      <c r="AH187" s="351">
        <v>0.01</v>
      </c>
    </row>
    <row r="188" spans="1:34" ht="15.75" customHeight="1" thickBot="1" x14ac:dyDescent="0.25">
      <c r="A188" s="397"/>
      <c r="B188" s="376"/>
      <c r="C188" s="387"/>
      <c r="D188" s="354"/>
      <c r="E188" s="351"/>
      <c r="F188" s="351"/>
      <c r="G188" s="351"/>
      <c r="H188" s="351"/>
      <c r="I188" s="111"/>
      <c r="J188" s="351"/>
      <c r="K188" s="351"/>
      <c r="L188" s="351"/>
      <c r="M188" s="351"/>
      <c r="N188" s="351"/>
      <c r="O188" s="111"/>
      <c r="P188" s="351"/>
      <c r="Q188" s="351"/>
      <c r="R188" s="351"/>
      <c r="S188" s="351"/>
      <c r="T188" s="351"/>
      <c r="U188" s="111"/>
      <c r="V188" s="351"/>
      <c r="W188" s="351"/>
      <c r="X188" s="351"/>
      <c r="Y188" s="351"/>
      <c r="Z188" s="351"/>
      <c r="AA188" s="111"/>
      <c r="AB188" s="351"/>
      <c r="AC188" s="351"/>
      <c r="AD188" s="351"/>
      <c r="AE188" s="351"/>
      <c r="AF188" s="351"/>
      <c r="AG188" s="111"/>
      <c r="AH188" s="351"/>
    </row>
    <row r="189" spans="1:34" ht="10.8" thickBot="1" x14ac:dyDescent="0.25">
      <c r="A189" s="105">
        <v>1.7</v>
      </c>
      <c r="B189" s="365" t="s">
        <v>28</v>
      </c>
      <c r="C189" s="371"/>
      <c r="D189" s="363"/>
      <c r="E189" s="363"/>
      <c r="F189" s="363"/>
      <c r="G189" s="363"/>
      <c r="H189" s="363"/>
      <c r="I189" s="363"/>
      <c r="J189" s="363"/>
      <c r="K189" s="363"/>
      <c r="L189" s="363"/>
      <c r="M189" s="363"/>
      <c r="N189" s="363"/>
      <c r="O189" s="363"/>
      <c r="P189" s="363"/>
      <c r="Q189" s="363"/>
      <c r="R189" s="363"/>
      <c r="S189" s="363"/>
      <c r="T189" s="363"/>
      <c r="U189" s="363"/>
      <c r="V189" s="363"/>
      <c r="W189" s="363"/>
      <c r="X189" s="363"/>
      <c r="Y189" s="363"/>
      <c r="Z189" s="363"/>
      <c r="AA189" s="363"/>
      <c r="AB189" s="363"/>
      <c r="AC189" s="363"/>
      <c r="AD189" s="363"/>
      <c r="AE189" s="363"/>
      <c r="AF189" s="363"/>
      <c r="AG189" s="363"/>
      <c r="AH189" s="364"/>
    </row>
    <row r="190" spans="1:34" ht="15" customHeight="1" thickBot="1" x14ac:dyDescent="0.25">
      <c r="A190" s="379"/>
      <c r="B190" s="376" t="s">
        <v>90</v>
      </c>
      <c r="C190" s="376"/>
      <c r="D190" s="358" t="s">
        <v>78</v>
      </c>
      <c r="E190" s="351">
        <v>0.2</v>
      </c>
      <c r="F190" s="351">
        <v>0.2</v>
      </c>
      <c r="G190" s="351">
        <v>0.2</v>
      </c>
      <c r="H190" s="351">
        <v>0.2</v>
      </c>
      <c r="I190" s="111"/>
      <c r="J190" s="351">
        <v>0.2</v>
      </c>
      <c r="K190" s="351">
        <v>0.2</v>
      </c>
      <c r="L190" s="351">
        <v>0.2</v>
      </c>
      <c r="M190" s="351">
        <v>0.2</v>
      </c>
      <c r="N190" s="351">
        <v>0.2</v>
      </c>
      <c r="O190" s="111"/>
      <c r="P190" s="351">
        <v>0.2</v>
      </c>
      <c r="Q190" s="351">
        <v>0.2</v>
      </c>
      <c r="R190" s="351">
        <v>0.2</v>
      </c>
      <c r="S190" s="351">
        <v>0.2</v>
      </c>
      <c r="T190" s="351">
        <v>0.2</v>
      </c>
      <c r="U190" s="111"/>
      <c r="V190" s="351">
        <v>0.2</v>
      </c>
      <c r="W190" s="351">
        <v>0.2</v>
      </c>
      <c r="X190" s="351">
        <v>0.2</v>
      </c>
      <c r="Y190" s="351">
        <v>0.2</v>
      </c>
      <c r="Z190" s="351">
        <v>0.2</v>
      </c>
      <c r="AA190" s="111"/>
      <c r="AB190" s="351">
        <v>0.2</v>
      </c>
      <c r="AC190" s="351">
        <v>0.2</v>
      </c>
      <c r="AD190" s="351">
        <v>0.2</v>
      </c>
      <c r="AE190" s="351">
        <v>0.2</v>
      </c>
      <c r="AF190" s="351">
        <v>0.2</v>
      </c>
      <c r="AG190" s="111"/>
      <c r="AH190" s="351">
        <v>0.2</v>
      </c>
    </row>
    <row r="191" spans="1:34" ht="51.6" customHeight="1" thickBot="1" x14ac:dyDescent="0.25">
      <c r="A191" s="380"/>
      <c r="B191" s="376"/>
      <c r="C191" s="376"/>
      <c r="D191" s="354"/>
      <c r="E191" s="351"/>
      <c r="F191" s="351"/>
      <c r="G191" s="351"/>
      <c r="H191" s="351"/>
      <c r="I191" s="111"/>
      <c r="J191" s="351"/>
      <c r="K191" s="351"/>
      <c r="L191" s="351"/>
      <c r="M191" s="351"/>
      <c r="N191" s="351"/>
      <c r="O191" s="111"/>
      <c r="P191" s="351"/>
      <c r="Q191" s="351"/>
      <c r="R191" s="351"/>
      <c r="S191" s="351"/>
      <c r="T191" s="351"/>
      <c r="U191" s="111"/>
      <c r="V191" s="351"/>
      <c r="W191" s="351"/>
      <c r="X191" s="351"/>
      <c r="Y191" s="351"/>
      <c r="Z191" s="351"/>
      <c r="AA191" s="111"/>
      <c r="AB191" s="351"/>
      <c r="AC191" s="351"/>
      <c r="AD191" s="351"/>
      <c r="AE191" s="351"/>
      <c r="AF191" s="351"/>
      <c r="AG191" s="111"/>
      <c r="AH191" s="351"/>
    </row>
    <row r="192" spans="1:34" ht="15.75" customHeight="1" thickBot="1" x14ac:dyDescent="0.25">
      <c r="A192" s="380"/>
      <c r="B192" s="376" t="s">
        <v>91</v>
      </c>
      <c r="C192" s="376"/>
      <c r="D192" s="358" t="s">
        <v>78</v>
      </c>
      <c r="E192" s="351">
        <v>1</v>
      </c>
      <c r="F192" s="351">
        <v>1</v>
      </c>
      <c r="G192" s="351">
        <v>1</v>
      </c>
      <c r="H192" s="351">
        <v>1</v>
      </c>
      <c r="I192" s="111"/>
      <c r="J192" s="351">
        <v>1</v>
      </c>
      <c r="K192" s="351">
        <v>1</v>
      </c>
      <c r="L192" s="351">
        <v>1</v>
      </c>
      <c r="M192" s="351">
        <v>1</v>
      </c>
      <c r="N192" s="351">
        <v>1</v>
      </c>
      <c r="O192" s="111"/>
      <c r="P192" s="351">
        <v>1</v>
      </c>
      <c r="Q192" s="351">
        <v>1</v>
      </c>
      <c r="R192" s="351">
        <v>1</v>
      </c>
      <c r="S192" s="351">
        <v>1</v>
      </c>
      <c r="T192" s="351">
        <v>1</v>
      </c>
      <c r="U192" s="111"/>
      <c r="V192" s="351">
        <v>1</v>
      </c>
      <c r="W192" s="351">
        <v>1</v>
      </c>
      <c r="X192" s="351">
        <v>1</v>
      </c>
      <c r="Y192" s="351">
        <v>1</v>
      </c>
      <c r="Z192" s="351">
        <v>1</v>
      </c>
      <c r="AA192" s="111"/>
      <c r="AB192" s="351">
        <v>1</v>
      </c>
      <c r="AC192" s="351">
        <v>1</v>
      </c>
      <c r="AD192" s="351">
        <v>1</v>
      </c>
      <c r="AE192" s="351">
        <v>1</v>
      </c>
      <c r="AF192" s="351">
        <v>1</v>
      </c>
      <c r="AG192" s="111"/>
      <c r="AH192" s="351">
        <v>1</v>
      </c>
    </row>
    <row r="193" spans="1:34" ht="41.4" customHeight="1" thickBot="1" x14ac:dyDescent="0.25">
      <c r="A193" s="385"/>
      <c r="B193" s="376"/>
      <c r="C193" s="376"/>
      <c r="D193" s="354"/>
      <c r="E193" s="351"/>
      <c r="F193" s="351"/>
      <c r="G193" s="351"/>
      <c r="H193" s="351"/>
      <c r="I193" s="111"/>
      <c r="J193" s="351"/>
      <c r="K193" s="351"/>
      <c r="L193" s="351"/>
      <c r="M193" s="351"/>
      <c r="N193" s="351"/>
      <c r="O193" s="111"/>
      <c r="P193" s="351"/>
      <c r="Q193" s="351"/>
      <c r="R193" s="351"/>
      <c r="S193" s="351"/>
      <c r="T193" s="351"/>
      <c r="U193" s="111"/>
      <c r="V193" s="351"/>
      <c r="W193" s="351"/>
      <c r="X193" s="351"/>
      <c r="Y193" s="351"/>
      <c r="Z193" s="351"/>
      <c r="AA193" s="111"/>
      <c r="AB193" s="351"/>
      <c r="AC193" s="351"/>
      <c r="AD193" s="351"/>
      <c r="AE193" s="351"/>
      <c r="AF193" s="351"/>
      <c r="AG193" s="111"/>
      <c r="AH193" s="351"/>
    </row>
    <row r="194" spans="1:34" ht="33.6" customHeight="1" thickBot="1" x14ac:dyDescent="0.25">
      <c r="A194" s="124">
        <v>2</v>
      </c>
      <c r="B194" s="368" t="s">
        <v>29</v>
      </c>
      <c r="C194" s="368"/>
      <c r="D194" s="369"/>
      <c r="E194" s="369"/>
      <c r="F194" s="369"/>
      <c r="G194" s="369"/>
      <c r="H194" s="369"/>
      <c r="I194" s="369"/>
      <c r="J194" s="369"/>
      <c r="K194" s="369"/>
      <c r="L194" s="369"/>
      <c r="M194" s="369"/>
      <c r="N194" s="369"/>
      <c r="O194" s="369"/>
      <c r="P194" s="369"/>
      <c r="Q194" s="369"/>
      <c r="R194" s="369"/>
      <c r="S194" s="369"/>
      <c r="T194" s="369"/>
      <c r="U194" s="369"/>
      <c r="V194" s="369"/>
      <c r="W194" s="369"/>
      <c r="X194" s="369"/>
      <c r="Y194" s="369"/>
      <c r="Z194" s="369"/>
      <c r="AA194" s="369"/>
      <c r="AB194" s="369"/>
      <c r="AC194" s="369"/>
      <c r="AD194" s="369"/>
      <c r="AE194" s="369"/>
      <c r="AF194" s="369"/>
      <c r="AG194" s="369"/>
      <c r="AH194" s="369"/>
    </row>
    <row r="195" spans="1:34" ht="31.5" customHeight="1" thickBot="1" x14ac:dyDescent="0.25">
      <c r="A195" s="125">
        <v>2.1</v>
      </c>
      <c r="B195" s="368" t="s">
        <v>30</v>
      </c>
      <c r="C195" s="368"/>
      <c r="D195" s="369"/>
      <c r="E195" s="369"/>
      <c r="F195" s="369"/>
      <c r="G195" s="369"/>
      <c r="H195" s="369"/>
      <c r="I195" s="369"/>
      <c r="J195" s="369"/>
      <c r="K195" s="369"/>
      <c r="L195" s="369"/>
      <c r="M195" s="369"/>
      <c r="N195" s="369"/>
      <c r="O195" s="369"/>
      <c r="P195" s="369"/>
      <c r="Q195" s="369"/>
      <c r="R195" s="369"/>
      <c r="S195" s="369"/>
      <c r="T195" s="369"/>
      <c r="U195" s="369"/>
      <c r="V195" s="369"/>
      <c r="W195" s="369"/>
      <c r="X195" s="369"/>
      <c r="Y195" s="369"/>
      <c r="Z195" s="369"/>
      <c r="AA195" s="369"/>
      <c r="AB195" s="369"/>
      <c r="AC195" s="369"/>
      <c r="AD195" s="369"/>
      <c r="AE195" s="369"/>
      <c r="AF195" s="369"/>
      <c r="AG195" s="369"/>
      <c r="AH195" s="369"/>
    </row>
    <row r="196" spans="1:34" ht="10.8" thickBot="1" x14ac:dyDescent="0.25">
      <c r="A196" s="379"/>
      <c r="B196" s="388" t="s">
        <v>142</v>
      </c>
      <c r="C196" s="388"/>
      <c r="D196" s="357" t="s">
        <v>78</v>
      </c>
      <c r="E196" s="355">
        <v>0.73570000000000002</v>
      </c>
      <c r="F196" s="355">
        <v>0.73570000000000002</v>
      </c>
      <c r="G196" s="355">
        <v>0.73570000000000002</v>
      </c>
      <c r="H196" s="355">
        <v>0.73570000000000002</v>
      </c>
      <c r="I196" s="127"/>
      <c r="J196" s="355">
        <v>0.73570000000000002</v>
      </c>
      <c r="K196" s="355">
        <v>0.7157</v>
      </c>
      <c r="L196" s="355">
        <v>0.7157</v>
      </c>
      <c r="M196" s="355">
        <v>0.7157</v>
      </c>
      <c r="N196" s="355">
        <v>0.7157</v>
      </c>
      <c r="O196" s="127"/>
      <c r="P196" s="355">
        <v>0.7157</v>
      </c>
      <c r="Q196" s="355">
        <v>0.69569999999999999</v>
      </c>
      <c r="R196" s="355">
        <v>0.69569999999999999</v>
      </c>
      <c r="S196" s="355">
        <v>0.69569999999999999</v>
      </c>
      <c r="T196" s="355">
        <v>0.69569999999999999</v>
      </c>
      <c r="U196" s="127"/>
      <c r="V196" s="355">
        <v>0.69569999999999999</v>
      </c>
      <c r="W196" s="355">
        <v>0.67569999999999997</v>
      </c>
      <c r="X196" s="355">
        <v>0.67569999999999997</v>
      </c>
      <c r="Y196" s="355">
        <v>0.67569999999999997</v>
      </c>
      <c r="Z196" s="355">
        <v>0.67569999999999997</v>
      </c>
      <c r="AA196" s="127"/>
      <c r="AB196" s="355">
        <v>0.67569999999999997</v>
      </c>
      <c r="AC196" s="355">
        <v>0.31</v>
      </c>
      <c r="AD196" s="355">
        <v>0.31</v>
      </c>
      <c r="AE196" s="355">
        <v>0.31</v>
      </c>
      <c r="AF196" s="355">
        <v>0.31</v>
      </c>
      <c r="AG196" s="114"/>
      <c r="AH196" s="355">
        <v>0.31</v>
      </c>
    </row>
    <row r="197" spans="1:34" ht="67.8" customHeight="1" thickBot="1" x14ac:dyDescent="0.25">
      <c r="A197" s="380"/>
      <c r="B197" s="388"/>
      <c r="C197" s="388"/>
      <c r="D197" s="357"/>
      <c r="E197" s="355"/>
      <c r="F197" s="355"/>
      <c r="G197" s="355"/>
      <c r="H197" s="355"/>
      <c r="I197" s="127"/>
      <c r="J197" s="355"/>
      <c r="K197" s="355">
        <v>0.56999999999999995</v>
      </c>
      <c r="L197" s="355">
        <v>0.56999999999999995</v>
      </c>
      <c r="M197" s="355">
        <v>0.56999999999999995</v>
      </c>
      <c r="N197" s="355">
        <v>0.56999999999999995</v>
      </c>
      <c r="O197" s="127"/>
      <c r="P197" s="355">
        <v>0.56999999999999995</v>
      </c>
      <c r="Q197" s="355">
        <v>0.56999999999999995</v>
      </c>
      <c r="R197" s="355">
        <v>0.56999999999999995</v>
      </c>
      <c r="S197" s="355">
        <v>0.56999999999999995</v>
      </c>
      <c r="T197" s="355">
        <v>0.56999999999999995</v>
      </c>
      <c r="U197" s="127"/>
      <c r="V197" s="355">
        <v>0.56999999999999995</v>
      </c>
      <c r="W197" s="355">
        <v>0.56999999999999995</v>
      </c>
      <c r="X197" s="355">
        <v>0.56999999999999995</v>
      </c>
      <c r="Y197" s="355">
        <v>0.56999999999999995</v>
      </c>
      <c r="Z197" s="355">
        <v>0.56999999999999995</v>
      </c>
      <c r="AA197" s="127"/>
      <c r="AB197" s="355">
        <v>0.56999999999999995</v>
      </c>
      <c r="AC197" s="355">
        <v>0.56999999999999995</v>
      </c>
      <c r="AD197" s="355">
        <v>0.56999999999999995</v>
      </c>
      <c r="AE197" s="355">
        <v>0.56999999999999995</v>
      </c>
      <c r="AF197" s="355">
        <v>0.56999999999999995</v>
      </c>
      <c r="AG197" s="114"/>
      <c r="AH197" s="355">
        <v>0.56999999999999995</v>
      </c>
    </row>
    <row r="198" spans="1:34" ht="18.75" customHeight="1" thickBot="1" x14ac:dyDescent="0.25">
      <c r="A198" s="380"/>
      <c r="B198" s="386" t="s">
        <v>146</v>
      </c>
      <c r="C198" s="386"/>
      <c r="D198" s="357" t="s">
        <v>78</v>
      </c>
      <c r="E198" s="351">
        <v>1</v>
      </c>
      <c r="F198" s="351">
        <v>1</v>
      </c>
      <c r="G198" s="351">
        <v>1</v>
      </c>
      <c r="H198" s="351">
        <v>1</v>
      </c>
      <c r="I198" s="99"/>
      <c r="J198" s="351">
        <v>1</v>
      </c>
      <c r="K198" s="351">
        <v>1</v>
      </c>
      <c r="L198" s="351">
        <v>1</v>
      </c>
      <c r="M198" s="351">
        <v>1</v>
      </c>
      <c r="N198" s="351">
        <v>1</v>
      </c>
      <c r="O198" s="99"/>
      <c r="P198" s="351">
        <v>1</v>
      </c>
      <c r="Q198" s="351">
        <v>1</v>
      </c>
      <c r="R198" s="351">
        <v>1</v>
      </c>
      <c r="S198" s="351">
        <v>1</v>
      </c>
      <c r="T198" s="351">
        <v>1</v>
      </c>
      <c r="U198" s="99"/>
      <c r="V198" s="351">
        <v>1</v>
      </c>
      <c r="W198" s="351">
        <f>94.45/(94.45+21.14)</f>
        <v>0.81711220693831643</v>
      </c>
      <c r="X198" s="351">
        <f>94.45/(94.45+21.14)</f>
        <v>0.81711220693831643</v>
      </c>
      <c r="Y198" s="351">
        <f>94.45/(94.45+21.14)</f>
        <v>0.81711220693831643</v>
      </c>
      <c r="Z198" s="351">
        <f>94.45/(94.45+21.14)</f>
        <v>0.81711220693831643</v>
      </c>
      <c r="AA198" s="99"/>
      <c r="AB198" s="351">
        <f>94.45/(94.45+21.14)</f>
        <v>0.81711220693831643</v>
      </c>
      <c r="AC198" s="351">
        <v>1</v>
      </c>
      <c r="AD198" s="351">
        <v>1</v>
      </c>
      <c r="AE198" s="351">
        <v>1</v>
      </c>
      <c r="AF198" s="351">
        <v>1</v>
      </c>
      <c r="AG198" s="99"/>
      <c r="AH198" s="351">
        <v>1</v>
      </c>
    </row>
    <row r="199" spans="1:34" ht="48" customHeight="1" thickBot="1" x14ac:dyDescent="0.25">
      <c r="A199" s="380"/>
      <c r="B199" s="386"/>
      <c r="C199" s="386"/>
      <c r="D199" s="357"/>
      <c r="E199" s="351"/>
      <c r="F199" s="351"/>
      <c r="G199" s="351"/>
      <c r="H199" s="351"/>
      <c r="I199" s="99"/>
      <c r="J199" s="351"/>
      <c r="K199" s="351"/>
      <c r="L199" s="351"/>
      <c r="M199" s="351"/>
      <c r="N199" s="351"/>
      <c r="O199" s="99"/>
      <c r="P199" s="351"/>
      <c r="Q199" s="351"/>
      <c r="R199" s="351"/>
      <c r="S199" s="351"/>
      <c r="T199" s="351"/>
      <c r="U199" s="99"/>
      <c r="V199" s="351"/>
      <c r="W199" s="351"/>
      <c r="X199" s="351"/>
      <c r="Y199" s="351"/>
      <c r="Z199" s="351"/>
      <c r="AA199" s="99"/>
      <c r="AB199" s="351"/>
      <c r="AC199" s="351"/>
      <c r="AD199" s="351"/>
      <c r="AE199" s="351"/>
      <c r="AF199" s="351"/>
      <c r="AG199" s="99"/>
      <c r="AH199" s="351"/>
    </row>
    <row r="200" spans="1:34" ht="21" customHeight="1" thickBot="1" x14ac:dyDescent="0.25">
      <c r="A200" s="380"/>
      <c r="B200" s="386" t="s">
        <v>147</v>
      </c>
      <c r="C200" s="386"/>
      <c r="D200" s="110" t="s">
        <v>100</v>
      </c>
      <c r="E200" s="353">
        <v>0.2</v>
      </c>
      <c r="F200" s="353">
        <v>0.2</v>
      </c>
      <c r="G200" s="353">
        <v>0.2</v>
      </c>
      <c r="H200" s="353">
        <v>0.2</v>
      </c>
      <c r="I200" s="111"/>
      <c r="J200" s="353">
        <v>0.2</v>
      </c>
      <c r="K200" s="353">
        <v>0.2</v>
      </c>
      <c r="L200" s="353">
        <v>0.2</v>
      </c>
      <c r="M200" s="353">
        <v>0.2</v>
      </c>
      <c r="N200" s="353">
        <v>0.2</v>
      </c>
      <c r="O200" s="111"/>
      <c r="P200" s="353">
        <v>0.2</v>
      </c>
      <c r="Q200" s="353">
        <v>0.2</v>
      </c>
      <c r="R200" s="353">
        <v>0.2</v>
      </c>
      <c r="S200" s="353">
        <v>0.2</v>
      </c>
      <c r="T200" s="353">
        <v>0.2</v>
      </c>
      <c r="U200" s="111"/>
      <c r="V200" s="353">
        <v>0.2</v>
      </c>
      <c r="W200" s="353">
        <v>0.2</v>
      </c>
      <c r="X200" s="353">
        <v>0.2</v>
      </c>
      <c r="Y200" s="353">
        <v>0.2</v>
      </c>
      <c r="Z200" s="353">
        <v>0.2</v>
      </c>
      <c r="AA200" s="111"/>
      <c r="AB200" s="353">
        <v>0.2</v>
      </c>
      <c r="AC200" s="353">
        <v>0.2</v>
      </c>
      <c r="AD200" s="353">
        <v>0.2</v>
      </c>
      <c r="AE200" s="353">
        <v>0.2</v>
      </c>
      <c r="AF200" s="353">
        <v>0.2</v>
      </c>
      <c r="AG200" s="111"/>
      <c r="AH200" s="353">
        <v>0.2</v>
      </c>
    </row>
    <row r="201" spans="1:34" ht="50.4" customHeight="1" thickBot="1" x14ac:dyDescent="0.25">
      <c r="A201" s="380"/>
      <c r="B201" s="386"/>
      <c r="C201" s="386"/>
      <c r="D201" s="128" t="s">
        <v>31</v>
      </c>
      <c r="E201" s="354"/>
      <c r="F201" s="354"/>
      <c r="G201" s="354"/>
      <c r="H201" s="354"/>
      <c r="I201" s="111"/>
      <c r="J201" s="354"/>
      <c r="K201" s="354"/>
      <c r="L201" s="354"/>
      <c r="M201" s="354"/>
      <c r="N201" s="354"/>
      <c r="O201" s="111"/>
      <c r="P201" s="354"/>
      <c r="Q201" s="354"/>
      <c r="R201" s="354"/>
      <c r="S201" s="354"/>
      <c r="T201" s="354"/>
      <c r="U201" s="111"/>
      <c r="V201" s="354"/>
      <c r="W201" s="354"/>
      <c r="X201" s="354"/>
      <c r="Y201" s="354"/>
      <c r="Z201" s="354"/>
      <c r="AA201" s="111"/>
      <c r="AB201" s="354"/>
      <c r="AC201" s="354"/>
      <c r="AD201" s="354"/>
      <c r="AE201" s="354"/>
      <c r="AF201" s="354"/>
      <c r="AG201" s="111"/>
      <c r="AH201" s="354"/>
    </row>
    <row r="202" spans="1:34" ht="15.75" customHeight="1" thickBot="1" x14ac:dyDescent="0.25">
      <c r="A202" s="380"/>
      <c r="B202" s="376" t="s">
        <v>42</v>
      </c>
      <c r="C202" s="378" t="s">
        <v>26</v>
      </c>
      <c r="D202" s="357" t="s">
        <v>78</v>
      </c>
      <c r="E202" s="352">
        <v>1</v>
      </c>
      <c r="F202" s="352">
        <v>1</v>
      </c>
      <c r="G202" s="352">
        <v>1</v>
      </c>
      <c r="H202" s="352">
        <v>1</v>
      </c>
      <c r="I202" s="111"/>
      <c r="J202" s="352">
        <v>1</v>
      </c>
      <c r="K202" s="352">
        <v>1</v>
      </c>
      <c r="L202" s="352">
        <v>1</v>
      </c>
      <c r="M202" s="352">
        <v>1</v>
      </c>
      <c r="N202" s="352">
        <v>1</v>
      </c>
      <c r="O202" s="111"/>
      <c r="P202" s="352">
        <v>1</v>
      </c>
      <c r="Q202" s="352">
        <v>1</v>
      </c>
      <c r="R202" s="352">
        <v>1</v>
      </c>
      <c r="S202" s="352">
        <v>1</v>
      </c>
      <c r="T202" s="352">
        <v>1</v>
      </c>
      <c r="U202" s="111"/>
      <c r="V202" s="352">
        <v>1</v>
      </c>
      <c r="W202" s="352">
        <v>1</v>
      </c>
      <c r="X202" s="352">
        <v>1</v>
      </c>
      <c r="Y202" s="352">
        <v>1</v>
      </c>
      <c r="Z202" s="352">
        <v>1</v>
      </c>
      <c r="AA202" s="111"/>
      <c r="AB202" s="352">
        <v>1</v>
      </c>
      <c r="AC202" s="352">
        <v>1</v>
      </c>
      <c r="AD202" s="352">
        <v>1</v>
      </c>
      <c r="AE202" s="352">
        <v>1</v>
      </c>
      <c r="AF202" s="352">
        <v>1</v>
      </c>
      <c r="AG202" s="111"/>
      <c r="AH202" s="352">
        <v>1</v>
      </c>
    </row>
    <row r="203" spans="1:34" ht="15.75" customHeight="1" thickBot="1" x14ac:dyDescent="0.25">
      <c r="A203" s="380"/>
      <c r="B203" s="376"/>
      <c r="C203" s="378"/>
      <c r="D203" s="357"/>
      <c r="E203" s="352"/>
      <c r="F203" s="352"/>
      <c r="G203" s="352"/>
      <c r="H203" s="352"/>
      <c r="I203" s="111"/>
      <c r="J203" s="352"/>
      <c r="K203" s="352"/>
      <c r="L203" s="352"/>
      <c r="M203" s="352"/>
      <c r="N203" s="352"/>
      <c r="O203" s="111"/>
      <c r="P203" s="352"/>
      <c r="Q203" s="352"/>
      <c r="R203" s="352"/>
      <c r="S203" s="352"/>
      <c r="T203" s="352"/>
      <c r="U203" s="111"/>
      <c r="V203" s="352"/>
      <c r="W203" s="352"/>
      <c r="X203" s="352"/>
      <c r="Y203" s="352"/>
      <c r="Z203" s="352"/>
      <c r="AA203" s="111"/>
      <c r="AB203" s="352"/>
      <c r="AC203" s="352"/>
      <c r="AD203" s="352"/>
      <c r="AE203" s="352"/>
      <c r="AF203" s="352"/>
      <c r="AG203" s="111"/>
      <c r="AH203" s="352"/>
    </row>
    <row r="204" spans="1:34" ht="15.75" customHeight="1" thickBot="1" x14ac:dyDescent="0.25">
      <c r="A204" s="380"/>
      <c r="B204" s="376"/>
      <c r="C204" s="378" t="s">
        <v>7</v>
      </c>
      <c r="D204" s="357" t="s">
        <v>78</v>
      </c>
      <c r="E204" s="352">
        <v>1</v>
      </c>
      <c r="F204" s="352">
        <v>1</v>
      </c>
      <c r="G204" s="352">
        <v>1</v>
      </c>
      <c r="H204" s="352">
        <v>1</v>
      </c>
      <c r="I204" s="111"/>
      <c r="J204" s="352">
        <v>1</v>
      </c>
      <c r="K204" s="352">
        <v>1</v>
      </c>
      <c r="L204" s="352">
        <v>1</v>
      </c>
      <c r="M204" s="352">
        <v>1</v>
      </c>
      <c r="N204" s="352">
        <v>1</v>
      </c>
      <c r="O204" s="111"/>
      <c r="P204" s="352">
        <v>1</v>
      </c>
      <c r="Q204" s="352">
        <v>1</v>
      </c>
      <c r="R204" s="352">
        <v>1</v>
      </c>
      <c r="S204" s="352">
        <v>1</v>
      </c>
      <c r="T204" s="352">
        <v>1</v>
      </c>
      <c r="U204" s="111"/>
      <c r="V204" s="352">
        <v>1</v>
      </c>
      <c r="W204" s="352">
        <v>1</v>
      </c>
      <c r="X204" s="352">
        <v>1</v>
      </c>
      <c r="Y204" s="352">
        <v>1</v>
      </c>
      <c r="Z204" s="352">
        <v>1</v>
      </c>
      <c r="AA204" s="111"/>
      <c r="AB204" s="352">
        <v>1</v>
      </c>
      <c r="AC204" s="352">
        <v>1</v>
      </c>
      <c r="AD204" s="352">
        <v>1</v>
      </c>
      <c r="AE204" s="352">
        <v>1</v>
      </c>
      <c r="AF204" s="352">
        <v>1</v>
      </c>
      <c r="AG204" s="111"/>
      <c r="AH204" s="352">
        <v>1</v>
      </c>
    </row>
    <row r="205" spans="1:34" ht="15.75" customHeight="1" thickBot="1" x14ac:dyDescent="0.25">
      <c r="A205" s="380"/>
      <c r="B205" s="376"/>
      <c r="C205" s="378"/>
      <c r="D205" s="357"/>
      <c r="E205" s="352"/>
      <c r="F205" s="352"/>
      <c r="G205" s="352"/>
      <c r="H205" s="352"/>
      <c r="I205" s="111"/>
      <c r="J205" s="352"/>
      <c r="K205" s="352"/>
      <c r="L205" s="352"/>
      <c r="M205" s="352"/>
      <c r="N205" s="352"/>
      <c r="O205" s="111"/>
      <c r="P205" s="352"/>
      <c r="Q205" s="352"/>
      <c r="R205" s="352"/>
      <c r="S205" s="352"/>
      <c r="T205" s="352"/>
      <c r="U205" s="111"/>
      <c r="V205" s="352"/>
      <c r="W205" s="352"/>
      <c r="X205" s="352"/>
      <c r="Y205" s="352"/>
      <c r="Z205" s="352"/>
      <c r="AA205" s="111"/>
      <c r="AB205" s="352"/>
      <c r="AC205" s="352"/>
      <c r="AD205" s="352"/>
      <c r="AE205" s="352"/>
      <c r="AF205" s="352"/>
      <c r="AG205" s="111"/>
      <c r="AH205" s="352"/>
    </row>
    <row r="206" spans="1:34" ht="15.75" customHeight="1" thickBot="1" x14ac:dyDescent="0.25">
      <c r="A206" s="380"/>
      <c r="B206" s="376"/>
      <c r="C206" s="378" t="s">
        <v>8</v>
      </c>
      <c r="D206" s="357" t="s">
        <v>78</v>
      </c>
      <c r="E206" s="352">
        <v>1</v>
      </c>
      <c r="F206" s="352">
        <v>1</v>
      </c>
      <c r="G206" s="352">
        <v>1</v>
      </c>
      <c r="H206" s="352">
        <v>1</v>
      </c>
      <c r="I206" s="111"/>
      <c r="J206" s="352">
        <v>1</v>
      </c>
      <c r="K206" s="352">
        <v>1</v>
      </c>
      <c r="L206" s="352">
        <v>1</v>
      </c>
      <c r="M206" s="352">
        <v>1</v>
      </c>
      <c r="N206" s="352">
        <v>1</v>
      </c>
      <c r="O206" s="111"/>
      <c r="P206" s="352">
        <v>1</v>
      </c>
      <c r="Q206" s="352">
        <v>1</v>
      </c>
      <c r="R206" s="352">
        <v>1</v>
      </c>
      <c r="S206" s="352">
        <v>1</v>
      </c>
      <c r="T206" s="352">
        <v>1</v>
      </c>
      <c r="U206" s="111"/>
      <c r="V206" s="352">
        <v>1</v>
      </c>
      <c r="W206" s="352">
        <v>1</v>
      </c>
      <c r="X206" s="352">
        <v>1</v>
      </c>
      <c r="Y206" s="352">
        <v>1</v>
      </c>
      <c r="Z206" s="352">
        <v>1</v>
      </c>
      <c r="AA206" s="111"/>
      <c r="AB206" s="352">
        <v>1</v>
      </c>
      <c r="AC206" s="352">
        <v>1</v>
      </c>
      <c r="AD206" s="352">
        <v>1</v>
      </c>
      <c r="AE206" s="352">
        <v>1</v>
      </c>
      <c r="AF206" s="352">
        <v>1</v>
      </c>
      <c r="AG206" s="111"/>
      <c r="AH206" s="352">
        <v>1</v>
      </c>
    </row>
    <row r="207" spans="1:34" ht="15.75" customHeight="1" thickBot="1" x14ac:dyDescent="0.25">
      <c r="A207" s="380"/>
      <c r="B207" s="376"/>
      <c r="C207" s="378"/>
      <c r="D207" s="357"/>
      <c r="E207" s="352"/>
      <c r="F207" s="352"/>
      <c r="G207" s="352"/>
      <c r="H207" s="352"/>
      <c r="I207" s="111"/>
      <c r="J207" s="352"/>
      <c r="K207" s="352"/>
      <c r="L207" s="352"/>
      <c r="M207" s="352"/>
      <c r="N207" s="352"/>
      <c r="O207" s="111"/>
      <c r="P207" s="352"/>
      <c r="Q207" s="352"/>
      <c r="R207" s="352"/>
      <c r="S207" s="352"/>
      <c r="T207" s="352"/>
      <c r="U207" s="111"/>
      <c r="V207" s="352"/>
      <c r="W207" s="352"/>
      <c r="X207" s="352"/>
      <c r="Y207" s="352"/>
      <c r="Z207" s="352"/>
      <c r="AA207" s="111"/>
      <c r="AB207" s="352"/>
      <c r="AC207" s="352"/>
      <c r="AD207" s="352"/>
      <c r="AE207" s="352"/>
      <c r="AF207" s="352"/>
      <c r="AG207" s="111"/>
      <c r="AH207" s="352"/>
    </row>
    <row r="208" spans="1:34" ht="15.75" customHeight="1" thickBot="1" x14ac:dyDescent="0.25">
      <c r="A208" s="380"/>
      <c r="B208" s="388" t="s">
        <v>130</v>
      </c>
      <c r="C208" s="388"/>
      <c r="D208" s="357" t="s">
        <v>78</v>
      </c>
      <c r="E208" s="352">
        <f>85.45/70</f>
        <v>1.2207142857142859</v>
      </c>
      <c r="F208" s="352">
        <f>85.45/70</f>
        <v>1.2207142857142859</v>
      </c>
      <c r="G208" s="352">
        <f>85.45/70</f>
        <v>1.2207142857142859</v>
      </c>
      <c r="H208" s="352">
        <f>85.45/70</f>
        <v>1.2207142857142859</v>
      </c>
      <c r="I208" s="99"/>
      <c r="J208" s="352">
        <f>85.45/70</f>
        <v>1.2207142857142859</v>
      </c>
      <c r="K208" s="352">
        <f>85.45/70</f>
        <v>1.2207142857142859</v>
      </c>
      <c r="L208" s="352">
        <f>85.45/70</f>
        <v>1.2207142857142859</v>
      </c>
      <c r="M208" s="352">
        <f>85.45/70</f>
        <v>1.2207142857142859</v>
      </c>
      <c r="N208" s="352">
        <f>85.45/70</f>
        <v>1.2207142857142859</v>
      </c>
      <c r="O208" s="99"/>
      <c r="P208" s="352">
        <f>85.45/70</f>
        <v>1.2207142857142859</v>
      </c>
      <c r="Q208" s="352">
        <f>85.45/70</f>
        <v>1.2207142857142859</v>
      </c>
      <c r="R208" s="352">
        <f>85.45/70</f>
        <v>1.2207142857142859</v>
      </c>
      <c r="S208" s="352">
        <f>85.45/70</f>
        <v>1.2207142857142859</v>
      </c>
      <c r="T208" s="352">
        <f>85.45/70</f>
        <v>1.2207142857142859</v>
      </c>
      <c r="U208" s="99"/>
      <c r="V208" s="352">
        <f>85.45/70</f>
        <v>1.2207142857142859</v>
      </c>
      <c r="W208" s="352">
        <f>(85.45+21.14)/70</f>
        <v>1.5227142857142857</v>
      </c>
      <c r="X208" s="352">
        <f>(85.45+21.14)/70</f>
        <v>1.5227142857142857</v>
      </c>
      <c r="Y208" s="352">
        <f>(85.45+21.14)/70</f>
        <v>1.5227142857142857</v>
      </c>
      <c r="Z208" s="352">
        <f>(85.45+21.14)/70</f>
        <v>1.5227142857142857</v>
      </c>
      <c r="AA208" s="99"/>
      <c r="AB208" s="352">
        <f>(85.45+21.14)/70</f>
        <v>1.5227142857142857</v>
      </c>
      <c r="AC208" s="352">
        <f>(85.45+21.14)/70</f>
        <v>1.5227142857142857</v>
      </c>
      <c r="AD208" s="352">
        <f>(85.45+21.14)/70</f>
        <v>1.5227142857142857</v>
      </c>
      <c r="AE208" s="352">
        <f>(85.45+21.14)/70</f>
        <v>1.5227142857142857</v>
      </c>
      <c r="AF208" s="352">
        <f>(85.45+21.14)/70</f>
        <v>1.5227142857142857</v>
      </c>
      <c r="AG208" s="99"/>
      <c r="AH208" s="352">
        <f>(85.45+21.14)/70</f>
        <v>1.5227142857142857</v>
      </c>
    </row>
    <row r="209" spans="1:34" ht="33" customHeight="1" thickBot="1" x14ac:dyDescent="0.25">
      <c r="A209" s="380"/>
      <c r="B209" s="388"/>
      <c r="C209" s="388"/>
      <c r="D209" s="357"/>
      <c r="E209" s="352"/>
      <c r="F209" s="352"/>
      <c r="G209" s="352"/>
      <c r="H209" s="352"/>
      <c r="I209" s="99"/>
      <c r="J209" s="352"/>
      <c r="K209" s="352"/>
      <c r="L209" s="352"/>
      <c r="M209" s="352"/>
      <c r="N209" s="352"/>
      <c r="O209" s="99"/>
      <c r="P209" s="352"/>
      <c r="Q209" s="352"/>
      <c r="R209" s="352"/>
      <c r="S209" s="352"/>
      <c r="T209" s="352"/>
      <c r="U209" s="99"/>
      <c r="V209" s="352"/>
      <c r="W209" s="352"/>
      <c r="X209" s="352"/>
      <c r="Y209" s="352"/>
      <c r="Z209" s="352"/>
      <c r="AA209" s="99"/>
      <c r="AB209" s="352"/>
      <c r="AC209" s="352"/>
      <c r="AD209" s="352"/>
      <c r="AE209" s="352"/>
      <c r="AF209" s="352"/>
      <c r="AG209" s="99"/>
      <c r="AH209" s="352"/>
    </row>
    <row r="210" spans="1:34" ht="15.75" customHeight="1" thickBot="1" x14ac:dyDescent="0.25">
      <c r="A210" s="380"/>
      <c r="B210" s="376" t="s">
        <v>131</v>
      </c>
      <c r="C210" s="376"/>
      <c r="D210" s="357" t="s">
        <v>78</v>
      </c>
      <c r="E210" s="370">
        <f>3838/3890</f>
        <v>0.98663239074550124</v>
      </c>
      <c r="F210" s="370">
        <f>3838/3890</f>
        <v>0.98663239074550124</v>
      </c>
      <c r="G210" s="370">
        <f>3838/3890</f>
        <v>0.98663239074550124</v>
      </c>
      <c r="H210" s="370">
        <f>3838/3890</f>
        <v>0.98663239074550124</v>
      </c>
      <c r="I210" s="99"/>
      <c r="J210" s="370">
        <f>3838/3890</f>
        <v>0.98663239074550124</v>
      </c>
      <c r="K210" s="352">
        <f>2669/2669</f>
        <v>1</v>
      </c>
      <c r="L210" s="352">
        <f>2669/2669</f>
        <v>1</v>
      </c>
      <c r="M210" s="352">
        <f>2669/2669</f>
        <v>1</v>
      </c>
      <c r="N210" s="352">
        <f>2669/2669</f>
        <v>1</v>
      </c>
      <c r="O210" s="114"/>
      <c r="P210" s="352">
        <f>2669/2669</f>
        <v>1</v>
      </c>
      <c r="Q210" s="352">
        <v>1</v>
      </c>
      <c r="R210" s="352">
        <v>1</v>
      </c>
      <c r="S210" s="352">
        <v>1</v>
      </c>
      <c r="T210" s="352">
        <v>1</v>
      </c>
      <c r="U210" s="99"/>
      <c r="V210" s="352">
        <v>1</v>
      </c>
      <c r="W210" s="352">
        <v>1</v>
      </c>
      <c r="X210" s="352">
        <v>1</v>
      </c>
      <c r="Y210" s="352">
        <v>1</v>
      </c>
      <c r="Z210" s="352">
        <v>1</v>
      </c>
      <c r="AA210" s="99"/>
      <c r="AB210" s="352">
        <v>1</v>
      </c>
      <c r="AC210" s="352">
        <v>1</v>
      </c>
      <c r="AD210" s="352">
        <v>1</v>
      </c>
      <c r="AE210" s="352">
        <v>1</v>
      </c>
      <c r="AF210" s="352">
        <v>1</v>
      </c>
      <c r="AG210" s="99"/>
      <c r="AH210" s="352">
        <v>1</v>
      </c>
    </row>
    <row r="211" spans="1:34" ht="39" customHeight="1" thickBot="1" x14ac:dyDescent="0.25">
      <c r="A211" s="385"/>
      <c r="B211" s="376"/>
      <c r="C211" s="376"/>
      <c r="D211" s="357"/>
      <c r="E211" s="370"/>
      <c r="F211" s="370"/>
      <c r="G211" s="370"/>
      <c r="H211" s="370"/>
      <c r="I211" s="99"/>
      <c r="J211" s="370"/>
      <c r="K211" s="352"/>
      <c r="L211" s="352"/>
      <c r="M211" s="352"/>
      <c r="N211" s="352"/>
      <c r="O211" s="114"/>
      <c r="P211" s="352"/>
      <c r="Q211" s="352"/>
      <c r="R211" s="352"/>
      <c r="S211" s="352"/>
      <c r="T211" s="352"/>
      <c r="U211" s="99"/>
      <c r="V211" s="352"/>
      <c r="W211" s="352"/>
      <c r="X211" s="352"/>
      <c r="Y211" s="352"/>
      <c r="Z211" s="352"/>
      <c r="AA211" s="99"/>
      <c r="AB211" s="352"/>
      <c r="AC211" s="352"/>
      <c r="AD211" s="352"/>
      <c r="AE211" s="352"/>
      <c r="AF211" s="352"/>
      <c r="AG211" s="99"/>
      <c r="AH211" s="352"/>
    </row>
    <row r="212" spans="1:34" ht="20.25" customHeight="1" thickBot="1" x14ac:dyDescent="0.25">
      <c r="A212" s="105">
        <v>2.2000000000000002</v>
      </c>
      <c r="B212" s="401" t="s">
        <v>33</v>
      </c>
      <c r="C212" s="402"/>
      <c r="D212" s="363"/>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363"/>
      <c r="AC212" s="363"/>
      <c r="AD212" s="363"/>
      <c r="AE212" s="363"/>
      <c r="AF212" s="363"/>
      <c r="AG212" s="363"/>
      <c r="AH212" s="364"/>
    </row>
    <row r="213" spans="1:34" ht="15.75" customHeight="1" thickBot="1" x14ac:dyDescent="0.25">
      <c r="A213" s="379"/>
      <c r="B213" s="376" t="s">
        <v>43</v>
      </c>
      <c r="C213" s="376"/>
      <c r="D213" s="357" t="s">
        <v>78</v>
      </c>
      <c r="E213" s="352">
        <f>50.745/70</f>
        <v>0.72492857142857137</v>
      </c>
      <c r="F213" s="352">
        <f>50.745/70</f>
        <v>0.72492857142857137</v>
      </c>
      <c r="G213" s="352">
        <f>50.745/70</f>
        <v>0.72492857142857137</v>
      </c>
      <c r="H213" s="352">
        <f>50.745/70</f>
        <v>0.72492857142857137</v>
      </c>
      <c r="I213" s="99"/>
      <c r="J213" s="352">
        <f>50.745/70</f>
        <v>0.72492857142857137</v>
      </c>
      <c r="K213" s="352">
        <f>50.745/70</f>
        <v>0.72492857142857137</v>
      </c>
      <c r="L213" s="352">
        <f>50.745/70</f>
        <v>0.72492857142857137</v>
      </c>
      <c r="M213" s="352">
        <f>50.745/70</f>
        <v>0.72492857142857137</v>
      </c>
      <c r="N213" s="352">
        <f>50.745/70</f>
        <v>0.72492857142857137</v>
      </c>
      <c r="O213" s="99"/>
      <c r="P213" s="352">
        <f>50.745/70</f>
        <v>0.72492857142857137</v>
      </c>
      <c r="Q213" s="352">
        <f>50.745/70</f>
        <v>0.72492857142857137</v>
      </c>
      <c r="R213" s="352">
        <f>50.745/70</f>
        <v>0.72492857142857137</v>
      </c>
      <c r="S213" s="352">
        <f>50.745/70</f>
        <v>0.72492857142857137</v>
      </c>
      <c r="T213" s="352">
        <f>50.745/70</f>
        <v>0.72492857142857137</v>
      </c>
      <c r="U213" s="99"/>
      <c r="V213" s="352">
        <f>50.745/70</f>
        <v>0.72492857142857137</v>
      </c>
      <c r="W213" s="352">
        <f>(50.745+17.944)/70</f>
        <v>0.98127142857142846</v>
      </c>
      <c r="X213" s="352">
        <f>(50.745+17.944)/70</f>
        <v>0.98127142857142846</v>
      </c>
      <c r="Y213" s="352">
        <f>(50.745+17.944)/70</f>
        <v>0.98127142857142846</v>
      </c>
      <c r="Z213" s="352">
        <f>(50.745+17.944)/70</f>
        <v>0.98127142857142846</v>
      </c>
      <c r="AA213" s="99"/>
      <c r="AB213" s="352">
        <f>(50.745+17.944)/70</f>
        <v>0.98127142857142846</v>
      </c>
      <c r="AC213" s="352">
        <f>(50.745+17.944)/70</f>
        <v>0.98127142857142846</v>
      </c>
      <c r="AD213" s="352">
        <f>(50.745+17.944)/70</f>
        <v>0.98127142857142846</v>
      </c>
      <c r="AE213" s="352">
        <f>(50.745+17.944)/70</f>
        <v>0.98127142857142846</v>
      </c>
      <c r="AF213" s="352">
        <f>(50.745+17.944)/70</f>
        <v>0.98127142857142846</v>
      </c>
      <c r="AG213" s="99"/>
      <c r="AH213" s="352">
        <f>(50.745+17.944)/70</f>
        <v>0.98127142857142846</v>
      </c>
    </row>
    <row r="214" spans="1:34" ht="54" customHeight="1" thickBot="1" x14ac:dyDescent="0.25">
      <c r="A214" s="380"/>
      <c r="B214" s="376"/>
      <c r="C214" s="376"/>
      <c r="D214" s="357"/>
      <c r="E214" s="352"/>
      <c r="F214" s="352"/>
      <c r="G214" s="352"/>
      <c r="H214" s="352"/>
      <c r="I214" s="99"/>
      <c r="J214" s="352"/>
      <c r="K214" s="352"/>
      <c r="L214" s="352"/>
      <c r="M214" s="352"/>
      <c r="N214" s="352"/>
      <c r="O214" s="99"/>
      <c r="P214" s="352"/>
      <c r="Q214" s="352"/>
      <c r="R214" s="352"/>
      <c r="S214" s="352"/>
      <c r="T214" s="352"/>
      <c r="U214" s="99"/>
      <c r="V214" s="352"/>
      <c r="W214" s="352"/>
      <c r="X214" s="352"/>
      <c r="Y214" s="352"/>
      <c r="Z214" s="352"/>
      <c r="AA214" s="99"/>
      <c r="AB214" s="352"/>
      <c r="AC214" s="352"/>
      <c r="AD214" s="352"/>
      <c r="AE214" s="352"/>
      <c r="AF214" s="352"/>
      <c r="AG214" s="99"/>
      <c r="AH214" s="352"/>
    </row>
    <row r="215" spans="1:34" ht="15.75" customHeight="1" thickBot="1" x14ac:dyDescent="0.25">
      <c r="A215" s="380"/>
      <c r="B215" s="376" t="s">
        <v>44</v>
      </c>
      <c r="C215" s="376"/>
      <c r="D215" s="357" t="s">
        <v>78</v>
      </c>
      <c r="E215" s="352">
        <v>1</v>
      </c>
      <c r="F215" s="352">
        <v>1</v>
      </c>
      <c r="G215" s="352">
        <v>1</v>
      </c>
      <c r="H215" s="352">
        <v>1</v>
      </c>
      <c r="I215" s="99"/>
      <c r="J215" s="352">
        <v>1</v>
      </c>
      <c r="K215" s="352">
        <v>1</v>
      </c>
      <c r="L215" s="352">
        <v>1</v>
      </c>
      <c r="M215" s="352">
        <v>1</v>
      </c>
      <c r="N215" s="352">
        <v>1</v>
      </c>
      <c r="O215" s="99"/>
      <c r="P215" s="352">
        <v>1</v>
      </c>
      <c r="Q215" s="352">
        <v>1</v>
      </c>
      <c r="R215" s="352">
        <v>1</v>
      </c>
      <c r="S215" s="352">
        <v>1</v>
      </c>
      <c r="T215" s="352">
        <v>1</v>
      </c>
      <c r="U215" s="99"/>
      <c r="V215" s="352">
        <v>1</v>
      </c>
      <c r="W215" s="352">
        <f>50.745/(50.745+17.944)</f>
        <v>0.73876457656975647</v>
      </c>
      <c r="X215" s="352">
        <f>50.745/(50.745+17.944)</f>
        <v>0.73876457656975647</v>
      </c>
      <c r="Y215" s="352">
        <f>50.745/(50.745+17.944)</f>
        <v>0.73876457656975647</v>
      </c>
      <c r="Z215" s="352">
        <f>50.745/(50.745+17.944)</f>
        <v>0.73876457656975647</v>
      </c>
      <c r="AA215" s="99"/>
      <c r="AB215" s="352">
        <f>50.745/(50.745+17.944)</f>
        <v>0.73876457656975647</v>
      </c>
      <c r="AC215" s="352">
        <v>1</v>
      </c>
      <c r="AD215" s="352">
        <v>1</v>
      </c>
      <c r="AE215" s="352">
        <v>1</v>
      </c>
      <c r="AF215" s="352">
        <v>1</v>
      </c>
      <c r="AG215" s="99"/>
      <c r="AH215" s="352">
        <v>1</v>
      </c>
    </row>
    <row r="216" spans="1:34" ht="33.6" customHeight="1" thickBot="1" x14ac:dyDescent="0.25">
      <c r="A216" s="380"/>
      <c r="B216" s="376"/>
      <c r="C216" s="376"/>
      <c r="D216" s="357"/>
      <c r="E216" s="352"/>
      <c r="F216" s="352"/>
      <c r="G216" s="352"/>
      <c r="H216" s="352"/>
      <c r="I216" s="99"/>
      <c r="J216" s="352"/>
      <c r="K216" s="352"/>
      <c r="L216" s="352"/>
      <c r="M216" s="352"/>
      <c r="N216" s="352"/>
      <c r="O216" s="99"/>
      <c r="P216" s="352"/>
      <c r="Q216" s="352"/>
      <c r="R216" s="352"/>
      <c r="S216" s="352"/>
      <c r="T216" s="352"/>
      <c r="U216" s="99"/>
      <c r="V216" s="352"/>
      <c r="W216" s="352"/>
      <c r="X216" s="352"/>
      <c r="Y216" s="352"/>
      <c r="Z216" s="352"/>
      <c r="AA216" s="99"/>
      <c r="AB216" s="352"/>
      <c r="AC216" s="352"/>
      <c r="AD216" s="352"/>
      <c r="AE216" s="352"/>
      <c r="AF216" s="352"/>
      <c r="AG216" s="99"/>
      <c r="AH216" s="352"/>
    </row>
    <row r="217" spans="1:34" ht="21.75" customHeight="1" thickBot="1" x14ac:dyDescent="0.25">
      <c r="A217" s="380"/>
      <c r="B217" s="376" t="s">
        <v>153</v>
      </c>
      <c r="C217" s="376"/>
      <c r="D217" s="110" t="s">
        <v>100</v>
      </c>
      <c r="E217" s="353">
        <v>0.6</v>
      </c>
      <c r="F217" s="353">
        <v>0.6</v>
      </c>
      <c r="G217" s="353">
        <v>0.6</v>
      </c>
      <c r="H217" s="353">
        <v>0.6</v>
      </c>
      <c r="I217" s="111"/>
      <c r="J217" s="353">
        <v>0.6</v>
      </c>
      <c r="K217" s="353">
        <v>0.6</v>
      </c>
      <c r="L217" s="353">
        <v>0.6</v>
      </c>
      <c r="M217" s="353">
        <v>0.6</v>
      </c>
      <c r="N217" s="353">
        <v>0.6</v>
      </c>
      <c r="O217" s="111"/>
      <c r="P217" s="353">
        <v>0.6</v>
      </c>
      <c r="Q217" s="353">
        <v>0.6</v>
      </c>
      <c r="R217" s="353">
        <v>0.6</v>
      </c>
      <c r="S217" s="353">
        <v>0.6</v>
      </c>
      <c r="T217" s="353">
        <v>0.6</v>
      </c>
      <c r="U217" s="111"/>
      <c r="V217" s="353">
        <v>0.6</v>
      </c>
      <c r="W217" s="353">
        <v>0.6</v>
      </c>
      <c r="X217" s="353">
        <v>0.6</v>
      </c>
      <c r="Y217" s="353">
        <v>0.6</v>
      </c>
      <c r="Z217" s="353">
        <v>0.6</v>
      </c>
      <c r="AA217" s="111"/>
      <c r="AB217" s="353">
        <v>0.6</v>
      </c>
      <c r="AC217" s="353">
        <v>0.6</v>
      </c>
      <c r="AD217" s="353">
        <v>0.6</v>
      </c>
      <c r="AE217" s="353">
        <v>0.6</v>
      </c>
      <c r="AF217" s="353">
        <v>0.6</v>
      </c>
      <c r="AG217" s="111"/>
      <c r="AH217" s="353">
        <v>0.6</v>
      </c>
    </row>
    <row r="218" spans="1:34" ht="47.4" customHeight="1" thickBot="1" x14ac:dyDescent="0.25">
      <c r="A218" s="385"/>
      <c r="B218" s="376"/>
      <c r="C218" s="376"/>
      <c r="D218" s="99" t="s">
        <v>31</v>
      </c>
      <c r="E218" s="354"/>
      <c r="F218" s="354"/>
      <c r="G218" s="354"/>
      <c r="H218" s="354"/>
      <c r="I218" s="111"/>
      <c r="J218" s="354"/>
      <c r="K218" s="354"/>
      <c r="L218" s="354"/>
      <c r="M218" s="354"/>
      <c r="N218" s="354"/>
      <c r="O218" s="111"/>
      <c r="P218" s="354"/>
      <c r="Q218" s="354"/>
      <c r="R218" s="354"/>
      <c r="S218" s="354"/>
      <c r="T218" s="354"/>
      <c r="U218" s="111"/>
      <c r="V218" s="354"/>
      <c r="W218" s="354"/>
      <c r="X218" s="354"/>
      <c r="Y218" s="354"/>
      <c r="Z218" s="354"/>
      <c r="AA218" s="111"/>
      <c r="AB218" s="354"/>
      <c r="AC218" s="354"/>
      <c r="AD218" s="354"/>
      <c r="AE218" s="354"/>
      <c r="AF218" s="354"/>
      <c r="AG218" s="111"/>
      <c r="AH218" s="354"/>
    </row>
    <row r="219" spans="1:34" ht="10.8" thickBot="1" x14ac:dyDescent="0.25">
      <c r="A219" s="129"/>
      <c r="B219" s="118"/>
      <c r="C219" s="118"/>
      <c r="D219" s="118"/>
      <c r="E219" s="130"/>
      <c r="F219" s="130"/>
      <c r="G219" s="130"/>
      <c r="H219" s="130"/>
      <c r="I219" s="107"/>
      <c r="J219" s="107"/>
      <c r="K219" s="130"/>
      <c r="L219" s="130"/>
      <c r="M219" s="130"/>
      <c r="N219" s="130"/>
      <c r="O219" s="107"/>
      <c r="P219" s="107"/>
      <c r="Q219" s="130"/>
      <c r="R219" s="130"/>
      <c r="S219" s="130"/>
      <c r="T219" s="130"/>
      <c r="U219" s="107"/>
      <c r="V219" s="107"/>
      <c r="W219" s="130"/>
      <c r="X219" s="130"/>
      <c r="Y219" s="130"/>
      <c r="Z219" s="130"/>
      <c r="AA219" s="107"/>
      <c r="AB219" s="107"/>
      <c r="AC219" s="130"/>
      <c r="AD219" s="130"/>
      <c r="AE219" s="130"/>
      <c r="AF219" s="130"/>
      <c r="AG219" s="107"/>
      <c r="AH219" s="107"/>
    </row>
    <row r="220" spans="1:34" ht="10.8" thickBot="1" x14ac:dyDescent="0.25">
      <c r="A220" s="131" t="s">
        <v>34</v>
      </c>
      <c r="B220" s="132"/>
      <c r="C220" s="123"/>
      <c r="D220" s="123"/>
      <c r="E220" s="107"/>
      <c r="F220" s="107"/>
      <c r="G220" s="117"/>
      <c r="H220" s="107"/>
      <c r="I220" s="107"/>
      <c r="J220" s="107"/>
      <c r="K220" s="107"/>
      <c r="L220" s="107"/>
      <c r="M220" s="117"/>
      <c r="N220" s="107"/>
      <c r="O220" s="107"/>
      <c r="P220" s="107"/>
      <c r="Q220" s="107"/>
      <c r="R220" s="107"/>
      <c r="S220" s="117"/>
      <c r="T220" s="107"/>
      <c r="U220" s="107"/>
      <c r="V220" s="107"/>
      <c r="W220" s="107"/>
      <c r="X220" s="107"/>
      <c r="Y220" s="117"/>
      <c r="Z220" s="107"/>
      <c r="AA220" s="107"/>
      <c r="AB220" s="107"/>
      <c r="AC220" s="107"/>
      <c r="AD220" s="107"/>
      <c r="AE220" s="117"/>
      <c r="AF220" s="107"/>
      <c r="AG220" s="107"/>
      <c r="AH220" s="107"/>
    </row>
    <row r="221" spans="1:34" ht="10.8" thickBot="1" x14ac:dyDescent="0.25">
      <c r="A221" s="131"/>
      <c r="B221" s="132"/>
      <c r="C221" s="123"/>
      <c r="D221" s="123"/>
      <c r="E221" s="107"/>
      <c r="F221" s="107"/>
      <c r="G221" s="107"/>
      <c r="H221" s="107"/>
      <c r="I221" s="99"/>
      <c r="J221" s="99"/>
      <c r="K221" s="107"/>
      <c r="L221" s="107"/>
      <c r="M221" s="107"/>
      <c r="N221" s="107"/>
      <c r="O221" s="99"/>
      <c r="P221" s="99"/>
      <c r="Q221" s="107"/>
      <c r="R221" s="107"/>
      <c r="S221" s="107"/>
      <c r="T221" s="107"/>
      <c r="U221" s="99"/>
      <c r="V221" s="99"/>
      <c r="W221" s="107"/>
      <c r="X221" s="107"/>
      <c r="Y221" s="107"/>
      <c r="Z221" s="107"/>
      <c r="AA221" s="99"/>
      <c r="AB221" s="99"/>
      <c r="AC221" s="107"/>
      <c r="AD221" s="107"/>
      <c r="AE221" s="107"/>
      <c r="AF221" s="107"/>
      <c r="AG221" s="99"/>
      <c r="AH221" s="99"/>
    </row>
    <row r="222" spans="1:34" ht="33" customHeight="1" thickBot="1" x14ac:dyDescent="0.25">
      <c r="A222" s="391"/>
      <c r="B222" s="389" t="s">
        <v>38</v>
      </c>
      <c r="C222" s="374"/>
      <c r="D222" s="104"/>
      <c r="E222" s="104">
        <v>2026</v>
      </c>
      <c r="F222" s="104"/>
      <c r="G222" s="356"/>
      <c r="H222" s="356"/>
      <c r="I222" s="102" t="s">
        <v>5</v>
      </c>
      <c r="J222" s="102"/>
      <c r="K222" s="104">
        <v>2027</v>
      </c>
      <c r="L222" s="104"/>
      <c r="M222" s="356"/>
      <c r="N222" s="356"/>
      <c r="O222" s="102" t="s">
        <v>5</v>
      </c>
      <c r="P222" s="102"/>
      <c r="Q222" s="104">
        <v>2028</v>
      </c>
      <c r="R222" s="104"/>
      <c r="S222" s="356"/>
      <c r="T222" s="356"/>
      <c r="U222" s="102" t="s">
        <v>5</v>
      </c>
      <c r="V222" s="102"/>
      <c r="W222" s="104"/>
      <c r="X222" s="104"/>
      <c r="Y222" s="356">
        <v>2029</v>
      </c>
      <c r="Z222" s="356"/>
      <c r="AA222" s="102" t="s">
        <v>5</v>
      </c>
      <c r="AB222" s="102"/>
      <c r="AC222" s="104">
        <v>2030</v>
      </c>
      <c r="AD222" s="104"/>
      <c r="AE222" s="356"/>
      <c r="AF222" s="356"/>
      <c r="AG222" s="102" t="s">
        <v>5</v>
      </c>
      <c r="AH222" s="102"/>
    </row>
    <row r="223" spans="1:34" ht="23.25" customHeight="1" thickBot="1" x14ac:dyDescent="0.25">
      <c r="A223" s="392"/>
      <c r="B223" s="389"/>
      <c r="C223" s="374"/>
      <c r="D223" s="107"/>
      <c r="E223" s="101" t="s">
        <v>1</v>
      </c>
      <c r="F223" s="101" t="s">
        <v>2</v>
      </c>
      <c r="G223" s="101" t="s">
        <v>3</v>
      </c>
      <c r="H223" s="101" t="s">
        <v>4</v>
      </c>
      <c r="I223" s="104">
        <v>9</v>
      </c>
      <c r="J223" s="104"/>
      <c r="K223" s="101" t="s">
        <v>1</v>
      </c>
      <c r="L223" s="101" t="s">
        <v>2</v>
      </c>
      <c r="M223" s="101" t="s">
        <v>3</v>
      </c>
      <c r="N223" s="101" t="s">
        <v>4</v>
      </c>
      <c r="O223" s="104">
        <v>9</v>
      </c>
      <c r="P223" s="104"/>
      <c r="Q223" s="101" t="s">
        <v>1</v>
      </c>
      <c r="R223" s="101" t="s">
        <v>2</v>
      </c>
      <c r="S223" s="101" t="s">
        <v>3</v>
      </c>
      <c r="T223" s="101" t="s">
        <v>4</v>
      </c>
      <c r="U223" s="104">
        <v>9</v>
      </c>
      <c r="V223" s="104"/>
      <c r="W223" s="101"/>
      <c r="X223" s="101"/>
      <c r="Y223" s="101" t="s">
        <v>3</v>
      </c>
      <c r="Z223" s="101" t="s">
        <v>4</v>
      </c>
      <c r="AA223" s="104">
        <v>9</v>
      </c>
      <c r="AB223" s="104"/>
      <c r="AC223" s="101" t="s">
        <v>1</v>
      </c>
      <c r="AD223" s="101" t="s">
        <v>2</v>
      </c>
      <c r="AE223" s="101" t="s">
        <v>3</v>
      </c>
      <c r="AF223" s="101" t="s">
        <v>4</v>
      </c>
      <c r="AG223" s="104">
        <v>9</v>
      </c>
      <c r="AH223" s="104"/>
    </row>
    <row r="224" spans="1:34" ht="10.8" thickBot="1" x14ac:dyDescent="0.25">
      <c r="A224" s="133">
        <v>0</v>
      </c>
      <c r="B224" s="98">
        <v>1</v>
      </c>
      <c r="C224" s="104">
        <v>2</v>
      </c>
      <c r="D224" s="104">
        <v>3</v>
      </c>
      <c r="E224" s="104" t="s">
        <v>113</v>
      </c>
      <c r="F224" s="104" t="s">
        <v>114</v>
      </c>
      <c r="G224" s="104" t="s">
        <v>115</v>
      </c>
      <c r="H224" s="104" t="s">
        <v>116</v>
      </c>
      <c r="I224" s="104"/>
      <c r="J224" s="104"/>
      <c r="K224" s="104" t="s">
        <v>113</v>
      </c>
      <c r="L224" s="104" t="s">
        <v>114</v>
      </c>
      <c r="M224" s="104" t="s">
        <v>115</v>
      </c>
      <c r="N224" s="104" t="s">
        <v>116</v>
      </c>
      <c r="O224" s="104"/>
      <c r="P224" s="104"/>
      <c r="Q224" s="104" t="s">
        <v>113</v>
      </c>
      <c r="R224" s="104" t="s">
        <v>114</v>
      </c>
      <c r="S224" s="104" t="s">
        <v>115</v>
      </c>
      <c r="T224" s="104" t="s">
        <v>116</v>
      </c>
      <c r="U224" s="104"/>
      <c r="V224" s="104"/>
      <c r="W224" s="104" t="s">
        <v>113</v>
      </c>
      <c r="X224" s="104" t="s">
        <v>114</v>
      </c>
      <c r="Y224" s="104" t="s">
        <v>115</v>
      </c>
      <c r="Z224" s="104" t="s">
        <v>116</v>
      </c>
      <c r="AA224" s="104"/>
      <c r="AB224" s="104"/>
      <c r="AC224" s="104" t="s">
        <v>113</v>
      </c>
      <c r="AD224" s="104" t="s">
        <v>114</v>
      </c>
      <c r="AE224" s="104" t="s">
        <v>115</v>
      </c>
      <c r="AF224" s="104" t="s">
        <v>116</v>
      </c>
      <c r="AG224" s="104"/>
      <c r="AH224" s="104"/>
    </row>
    <row r="225" spans="1:34" ht="23.4" customHeight="1" thickBot="1" x14ac:dyDescent="0.25">
      <c r="A225" s="134">
        <v>3.1</v>
      </c>
      <c r="B225" s="361" t="s">
        <v>151</v>
      </c>
      <c r="C225" s="362"/>
      <c r="D225" s="363"/>
      <c r="E225" s="363"/>
      <c r="F225" s="363"/>
      <c r="G225" s="363"/>
      <c r="H225" s="363"/>
      <c r="I225" s="363"/>
      <c r="J225" s="363"/>
      <c r="K225" s="363"/>
      <c r="L225" s="363"/>
      <c r="M225" s="363"/>
      <c r="N225" s="363"/>
      <c r="O225" s="363"/>
      <c r="P225" s="363"/>
      <c r="Q225" s="363"/>
      <c r="R225" s="363"/>
      <c r="S225" s="363"/>
      <c r="T225" s="363"/>
      <c r="U225" s="363"/>
      <c r="V225" s="363"/>
      <c r="W225" s="363"/>
      <c r="X225" s="363"/>
      <c r="Y225" s="363"/>
      <c r="Z225" s="363"/>
      <c r="AA225" s="363"/>
      <c r="AB225" s="363"/>
      <c r="AC225" s="363"/>
      <c r="AD225" s="363"/>
      <c r="AE225" s="363"/>
      <c r="AF225" s="363"/>
      <c r="AG225" s="363"/>
      <c r="AH225" s="364"/>
    </row>
    <row r="226" spans="1:34" ht="15.75" customHeight="1" thickBot="1" x14ac:dyDescent="0.25">
      <c r="A226" s="379"/>
      <c r="B226" s="376" t="s">
        <v>45</v>
      </c>
      <c r="C226" s="376"/>
      <c r="D226" s="110" t="s">
        <v>101</v>
      </c>
      <c r="E226" s="108">
        <v>3915</v>
      </c>
      <c r="F226" s="108">
        <v>3940</v>
      </c>
      <c r="G226" s="108">
        <v>3965</v>
      </c>
      <c r="H226" s="108">
        <v>3990</v>
      </c>
      <c r="I226" s="122"/>
      <c r="J226" s="122">
        <f>3890+100</f>
        <v>3990</v>
      </c>
      <c r="K226" s="108">
        <v>4015</v>
      </c>
      <c r="L226" s="108">
        <v>4040</v>
      </c>
      <c r="M226" s="108">
        <v>4065</v>
      </c>
      <c r="N226" s="108">
        <v>4090</v>
      </c>
      <c r="O226" s="122"/>
      <c r="P226" s="122">
        <f>J226+100</f>
        <v>4090</v>
      </c>
      <c r="Q226" s="108">
        <v>4115</v>
      </c>
      <c r="R226" s="108">
        <v>4140</v>
      </c>
      <c r="S226" s="108">
        <v>4165</v>
      </c>
      <c r="T226" s="108">
        <v>4190</v>
      </c>
      <c r="U226" s="108"/>
      <c r="V226" s="122">
        <f>P226+100</f>
        <v>4190</v>
      </c>
      <c r="W226" s="108">
        <v>4271</v>
      </c>
      <c r="X226" s="108">
        <v>4352</v>
      </c>
      <c r="Y226" s="108">
        <v>4433</v>
      </c>
      <c r="Z226" s="108">
        <v>4514</v>
      </c>
      <c r="AA226" s="122"/>
      <c r="AB226" s="135">
        <f>V226+324</f>
        <v>4514</v>
      </c>
      <c r="AC226" s="108">
        <v>4504</v>
      </c>
      <c r="AD226" s="108">
        <v>4507</v>
      </c>
      <c r="AE226" s="108">
        <v>4511</v>
      </c>
      <c r="AF226" s="108">
        <v>4514</v>
      </c>
      <c r="AG226" s="122"/>
      <c r="AH226" s="135">
        <f>AB226</f>
        <v>4514</v>
      </c>
    </row>
    <row r="227" spans="1:34" ht="24.6" customHeight="1" thickBot="1" x14ac:dyDescent="0.25">
      <c r="A227" s="380"/>
      <c r="B227" s="376"/>
      <c r="C227" s="376"/>
      <c r="D227" s="110" t="s">
        <v>32</v>
      </c>
      <c r="E227" s="111">
        <v>85.453000000000003</v>
      </c>
      <c r="F227" s="111">
        <v>85.453000000000003</v>
      </c>
      <c r="G227" s="111">
        <v>85.453000000000003</v>
      </c>
      <c r="H227" s="111">
        <v>85.453000000000003</v>
      </c>
      <c r="I227" s="111"/>
      <c r="J227" s="111">
        <v>85.453000000000003</v>
      </c>
      <c r="K227" s="111">
        <v>85.453000000000003</v>
      </c>
      <c r="L227" s="111">
        <v>85.453000000000003</v>
      </c>
      <c r="M227" s="111">
        <v>85.453000000000003</v>
      </c>
      <c r="N227" s="111">
        <v>85.453000000000003</v>
      </c>
      <c r="O227" s="111"/>
      <c r="P227" s="111">
        <v>85.45</v>
      </c>
      <c r="Q227" s="111">
        <v>85.453000000000003</v>
      </c>
      <c r="R227" s="111">
        <v>85.453000000000003</v>
      </c>
      <c r="S227" s="111">
        <v>85.453000000000003</v>
      </c>
      <c r="T227" s="111">
        <v>85.453000000000003</v>
      </c>
      <c r="U227" s="126"/>
      <c r="V227" s="111">
        <v>85.45</v>
      </c>
      <c r="W227" s="136">
        <f t="shared" ref="W227:Z228" si="0">85.45+21.138</f>
        <v>106.58800000000001</v>
      </c>
      <c r="X227" s="136">
        <f t="shared" si="0"/>
        <v>106.58800000000001</v>
      </c>
      <c r="Y227" s="136">
        <f t="shared" si="0"/>
        <v>106.58800000000001</v>
      </c>
      <c r="Z227" s="136">
        <f t="shared" si="0"/>
        <v>106.58800000000001</v>
      </c>
      <c r="AA227" s="111"/>
      <c r="AB227" s="136">
        <f>85.45+21.138</f>
        <v>106.58800000000001</v>
      </c>
      <c r="AC227" s="136">
        <f t="shared" ref="AC227:AF228" si="1">85.45+21.138</f>
        <v>106.58800000000001</v>
      </c>
      <c r="AD227" s="136">
        <f t="shared" si="1"/>
        <v>106.58800000000001</v>
      </c>
      <c r="AE227" s="136">
        <f t="shared" si="1"/>
        <v>106.58800000000001</v>
      </c>
      <c r="AF227" s="136">
        <f t="shared" si="1"/>
        <v>106.58800000000001</v>
      </c>
      <c r="AG227" s="111"/>
      <c r="AH227" s="136">
        <f>85.45+21.14</f>
        <v>106.59</v>
      </c>
    </row>
    <row r="228" spans="1:34" ht="15.75" customHeight="1" thickBot="1" x14ac:dyDescent="0.25">
      <c r="A228" s="380"/>
      <c r="B228" s="376" t="s">
        <v>46</v>
      </c>
      <c r="C228" s="376"/>
      <c r="D228" s="110" t="s">
        <v>32</v>
      </c>
      <c r="E228" s="111">
        <v>85.453000000000003</v>
      </c>
      <c r="F228" s="111">
        <v>85.453000000000003</v>
      </c>
      <c r="G228" s="111">
        <v>85.453000000000003</v>
      </c>
      <c r="H228" s="111">
        <v>85.453000000000003</v>
      </c>
      <c r="I228" s="111"/>
      <c r="J228" s="111">
        <v>85.453000000000003</v>
      </c>
      <c r="K228" s="111">
        <v>85.453000000000003</v>
      </c>
      <c r="L228" s="111">
        <v>85.453000000000003</v>
      </c>
      <c r="M228" s="111">
        <v>85.453000000000003</v>
      </c>
      <c r="N228" s="111">
        <v>85.453000000000003</v>
      </c>
      <c r="O228" s="111"/>
      <c r="P228" s="111">
        <v>85.45</v>
      </c>
      <c r="Q228" s="111">
        <v>85.453000000000003</v>
      </c>
      <c r="R228" s="111">
        <v>85.453000000000003</v>
      </c>
      <c r="S228" s="111">
        <v>85.453000000000003</v>
      </c>
      <c r="T228" s="111">
        <v>85.453000000000003</v>
      </c>
      <c r="U228" s="126"/>
      <c r="V228" s="111">
        <v>85.45</v>
      </c>
      <c r="W228" s="136">
        <f t="shared" si="0"/>
        <v>106.58800000000001</v>
      </c>
      <c r="X228" s="136">
        <f t="shared" si="0"/>
        <v>106.58800000000001</v>
      </c>
      <c r="Y228" s="136">
        <f t="shared" si="0"/>
        <v>106.58800000000001</v>
      </c>
      <c r="Z228" s="136">
        <f t="shared" si="0"/>
        <v>106.58800000000001</v>
      </c>
      <c r="AA228" s="111"/>
      <c r="AB228" s="136">
        <f>85.45+21.138</f>
        <v>106.58800000000001</v>
      </c>
      <c r="AC228" s="136">
        <f t="shared" si="1"/>
        <v>106.58800000000001</v>
      </c>
      <c r="AD228" s="136">
        <f t="shared" si="1"/>
        <v>106.58800000000001</v>
      </c>
      <c r="AE228" s="136">
        <f t="shared" si="1"/>
        <v>106.58800000000001</v>
      </c>
      <c r="AF228" s="136">
        <f t="shared" si="1"/>
        <v>106.58800000000001</v>
      </c>
      <c r="AG228" s="111"/>
      <c r="AH228" s="136">
        <f>85.45+21.14</f>
        <v>106.59</v>
      </c>
    </row>
    <row r="229" spans="1:34" ht="42" customHeight="1" thickBot="1" x14ac:dyDescent="0.25">
      <c r="A229" s="380"/>
      <c r="B229" s="376"/>
      <c r="C229" s="376"/>
      <c r="D229" s="110" t="s">
        <v>143</v>
      </c>
      <c r="E229" s="108">
        <v>18217</v>
      </c>
      <c r="F229" s="108">
        <v>18254</v>
      </c>
      <c r="G229" s="108">
        <v>18292</v>
      </c>
      <c r="H229" s="108">
        <v>18329</v>
      </c>
      <c r="I229" s="122"/>
      <c r="J229" s="122">
        <v>18329</v>
      </c>
      <c r="K229" s="108">
        <v>18367</v>
      </c>
      <c r="L229" s="108">
        <v>18404</v>
      </c>
      <c r="M229" s="108">
        <v>18442</v>
      </c>
      <c r="N229" s="108">
        <v>18479</v>
      </c>
      <c r="O229" s="122"/>
      <c r="P229" s="122">
        <v>18479</v>
      </c>
      <c r="Q229" s="108">
        <v>18517</v>
      </c>
      <c r="R229" s="108">
        <v>18554</v>
      </c>
      <c r="S229" s="108">
        <v>18592</v>
      </c>
      <c r="T229" s="108">
        <v>18629</v>
      </c>
      <c r="U229" s="108"/>
      <c r="V229" s="122">
        <v>18629</v>
      </c>
      <c r="W229" s="108">
        <v>18726</v>
      </c>
      <c r="X229" s="108">
        <v>18823</v>
      </c>
      <c r="Y229" s="108">
        <v>18920</v>
      </c>
      <c r="Z229" s="108">
        <v>19017</v>
      </c>
      <c r="AA229" s="122"/>
      <c r="AB229" s="122">
        <v>19017</v>
      </c>
      <c r="AC229" s="108">
        <v>18974</v>
      </c>
      <c r="AD229" s="108">
        <v>18988</v>
      </c>
      <c r="AE229" s="108">
        <v>19003</v>
      </c>
      <c r="AF229" s="108">
        <v>19017</v>
      </c>
      <c r="AG229" s="122"/>
      <c r="AH229" s="122">
        <v>19017</v>
      </c>
    </row>
    <row r="230" spans="1:34" ht="15.75" customHeight="1" thickBot="1" x14ac:dyDescent="0.25">
      <c r="A230" s="380"/>
      <c r="B230" s="376" t="s">
        <v>47</v>
      </c>
      <c r="C230" s="376"/>
      <c r="D230" s="110" t="s">
        <v>32</v>
      </c>
      <c r="E230" s="111">
        <v>94.453000000000003</v>
      </c>
      <c r="F230" s="111">
        <v>94.453000000000003</v>
      </c>
      <c r="G230" s="111">
        <v>94.453000000000003</v>
      </c>
      <c r="H230" s="111">
        <v>94.453000000000003</v>
      </c>
      <c r="I230" s="111">
        <v>94.453000000000003</v>
      </c>
      <c r="J230" s="111">
        <v>94.453000000000003</v>
      </c>
      <c r="K230" s="111">
        <v>94.453000000000003</v>
      </c>
      <c r="L230" s="111">
        <v>94.453000000000003</v>
      </c>
      <c r="M230" s="111">
        <v>94.453000000000003</v>
      </c>
      <c r="N230" s="111">
        <v>94.453000000000003</v>
      </c>
      <c r="O230" s="122"/>
      <c r="P230" s="111">
        <v>94.453000000000003</v>
      </c>
      <c r="Q230" s="111">
        <v>94.453000000000003</v>
      </c>
      <c r="R230" s="111">
        <v>94.453000000000003</v>
      </c>
      <c r="S230" s="111">
        <v>94.453000000000003</v>
      </c>
      <c r="T230" s="111">
        <v>94.453000000000003</v>
      </c>
      <c r="U230" s="109"/>
      <c r="V230" s="111">
        <v>94.453000000000003</v>
      </c>
      <c r="W230" s="111">
        <f>94.453+21.14</f>
        <v>115.593</v>
      </c>
      <c r="X230" s="111">
        <f>94.453+21.14</f>
        <v>115.593</v>
      </c>
      <c r="Y230" s="111">
        <f>94.453+21.14</f>
        <v>115.593</v>
      </c>
      <c r="Z230" s="111">
        <f>94.453+21.14</f>
        <v>115.593</v>
      </c>
      <c r="AA230" s="122"/>
      <c r="AB230" s="111">
        <f t="shared" ref="AB230:AH230" si="2">94.453+21.14</f>
        <v>115.593</v>
      </c>
      <c r="AC230" s="111">
        <f t="shared" si="2"/>
        <v>115.593</v>
      </c>
      <c r="AD230" s="111">
        <f t="shared" si="2"/>
        <v>115.593</v>
      </c>
      <c r="AE230" s="111">
        <f t="shared" si="2"/>
        <v>115.593</v>
      </c>
      <c r="AF230" s="111">
        <f t="shared" si="2"/>
        <v>115.593</v>
      </c>
      <c r="AG230" s="111">
        <f t="shared" si="2"/>
        <v>115.593</v>
      </c>
      <c r="AH230" s="111">
        <f t="shared" si="2"/>
        <v>115.593</v>
      </c>
    </row>
    <row r="231" spans="1:34" ht="28.8" customHeight="1" thickBot="1" x14ac:dyDescent="0.25">
      <c r="A231" s="380"/>
      <c r="B231" s="376"/>
      <c r="C231" s="376"/>
      <c r="D231" s="110" t="s">
        <v>143</v>
      </c>
      <c r="E231" s="108">
        <v>18217</v>
      </c>
      <c r="F231" s="108">
        <v>18254</v>
      </c>
      <c r="G231" s="108">
        <v>18292</v>
      </c>
      <c r="H231" s="108">
        <v>18329</v>
      </c>
      <c r="I231" s="122"/>
      <c r="J231" s="122">
        <v>18329</v>
      </c>
      <c r="K231" s="108">
        <v>18367</v>
      </c>
      <c r="L231" s="108">
        <v>18404</v>
      </c>
      <c r="M231" s="108">
        <v>18442</v>
      </c>
      <c r="N231" s="108">
        <v>18479</v>
      </c>
      <c r="O231" s="122"/>
      <c r="P231" s="122">
        <v>18479</v>
      </c>
      <c r="Q231" s="108">
        <v>18517</v>
      </c>
      <c r="R231" s="108">
        <v>18554</v>
      </c>
      <c r="S231" s="108">
        <v>18592</v>
      </c>
      <c r="T231" s="108">
        <v>18629</v>
      </c>
      <c r="U231" s="108"/>
      <c r="V231" s="122">
        <v>18629</v>
      </c>
      <c r="W231" s="108">
        <v>18726</v>
      </c>
      <c r="X231" s="108">
        <v>18823</v>
      </c>
      <c r="Y231" s="108">
        <v>18920</v>
      </c>
      <c r="Z231" s="108">
        <v>19017</v>
      </c>
      <c r="AA231" s="122"/>
      <c r="AB231" s="122">
        <v>19017</v>
      </c>
      <c r="AC231" s="108">
        <v>18974</v>
      </c>
      <c r="AD231" s="108">
        <v>18988</v>
      </c>
      <c r="AE231" s="108">
        <v>19003</v>
      </c>
      <c r="AF231" s="108">
        <v>19017</v>
      </c>
      <c r="AG231" s="122"/>
      <c r="AH231" s="122">
        <v>19017</v>
      </c>
    </row>
    <row r="232" spans="1:34" ht="10.8" thickBot="1" x14ac:dyDescent="0.25">
      <c r="A232" s="380"/>
      <c r="B232" s="376" t="s">
        <v>36</v>
      </c>
      <c r="C232" s="376"/>
      <c r="D232" s="110" t="s">
        <v>144</v>
      </c>
      <c r="E232" s="108">
        <v>2128</v>
      </c>
      <c r="F232" s="108">
        <v>2160</v>
      </c>
      <c r="G232" s="108">
        <v>2193</v>
      </c>
      <c r="H232" s="108">
        <v>2225</v>
      </c>
      <c r="I232" s="122"/>
      <c r="J232" s="122">
        <v>2225</v>
      </c>
      <c r="K232" s="108">
        <v>2258</v>
      </c>
      <c r="L232" s="108">
        <v>2290</v>
      </c>
      <c r="M232" s="108">
        <v>2323</v>
      </c>
      <c r="N232" s="108">
        <v>2355</v>
      </c>
      <c r="O232" s="122"/>
      <c r="P232" s="122">
        <v>2355</v>
      </c>
      <c r="Q232" s="108">
        <v>2388</v>
      </c>
      <c r="R232" s="108">
        <v>2420</v>
      </c>
      <c r="S232" s="108">
        <v>2453</v>
      </c>
      <c r="T232" s="108">
        <v>2485</v>
      </c>
      <c r="U232" s="122"/>
      <c r="V232" s="122">
        <v>2485</v>
      </c>
      <c r="W232" s="108">
        <v>2548</v>
      </c>
      <c r="X232" s="108">
        <v>2610</v>
      </c>
      <c r="Y232" s="108">
        <v>2673</v>
      </c>
      <c r="Z232" s="108">
        <v>2735</v>
      </c>
      <c r="AA232" s="122"/>
      <c r="AB232" s="122">
        <v>2735</v>
      </c>
      <c r="AC232" s="108">
        <v>2729</v>
      </c>
      <c r="AD232" s="108">
        <v>2731</v>
      </c>
      <c r="AE232" s="108">
        <v>2733</v>
      </c>
      <c r="AF232" s="108">
        <v>2735</v>
      </c>
      <c r="AG232" s="122"/>
      <c r="AH232" s="122">
        <v>2735</v>
      </c>
    </row>
    <row r="233" spans="1:34" ht="29.4" customHeight="1" thickBot="1" x14ac:dyDescent="0.25">
      <c r="A233" s="380"/>
      <c r="B233" s="376"/>
      <c r="C233" s="376"/>
      <c r="D233" s="110" t="s">
        <v>32</v>
      </c>
      <c r="E233" s="111">
        <v>50.744999999999997</v>
      </c>
      <c r="F233" s="111">
        <v>50.744999999999997</v>
      </c>
      <c r="G233" s="111">
        <v>50.744999999999997</v>
      </c>
      <c r="H233" s="111">
        <v>50.744999999999997</v>
      </c>
      <c r="I233" s="122"/>
      <c r="J233" s="111">
        <v>50.744999999999997</v>
      </c>
      <c r="K233" s="111">
        <v>50.744999999999997</v>
      </c>
      <c r="L233" s="111">
        <v>50.744999999999997</v>
      </c>
      <c r="M233" s="111">
        <v>50.744999999999997</v>
      </c>
      <c r="N233" s="111">
        <v>50.744999999999997</v>
      </c>
      <c r="O233" s="122"/>
      <c r="P233" s="111">
        <v>50.744999999999997</v>
      </c>
      <c r="Q233" s="111">
        <v>50.744999999999997</v>
      </c>
      <c r="R233" s="111">
        <v>50.744999999999997</v>
      </c>
      <c r="S233" s="111">
        <v>50.744999999999997</v>
      </c>
      <c r="T233" s="111">
        <v>50.744999999999997</v>
      </c>
      <c r="U233" s="122"/>
      <c r="V233" s="111">
        <v>50.744999999999997</v>
      </c>
      <c r="W233" s="111">
        <f>50.745+17.944</f>
        <v>68.688999999999993</v>
      </c>
      <c r="X233" s="111">
        <f>50.745+17.944</f>
        <v>68.688999999999993</v>
      </c>
      <c r="Y233" s="111">
        <f>50.745+17.944</f>
        <v>68.688999999999993</v>
      </c>
      <c r="Z233" s="111">
        <f>50.745+17.944</f>
        <v>68.688999999999993</v>
      </c>
      <c r="AA233" s="122"/>
      <c r="AB233" s="111">
        <f>50.745+17.944</f>
        <v>68.688999999999993</v>
      </c>
      <c r="AC233" s="111">
        <f>50.745+17.944</f>
        <v>68.688999999999993</v>
      </c>
      <c r="AD233" s="111">
        <f>50.745+17.944</f>
        <v>68.688999999999993</v>
      </c>
      <c r="AE233" s="111">
        <f>50.745+17.944</f>
        <v>68.688999999999993</v>
      </c>
      <c r="AF233" s="111">
        <f>50.745+17.944</f>
        <v>68.688999999999993</v>
      </c>
      <c r="AG233" s="122"/>
      <c r="AH233" s="111">
        <f>50.745+17.944</f>
        <v>68.688999999999993</v>
      </c>
    </row>
    <row r="234" spans="1:34" ht="10.8" thickBot="1" x14ac:dyDescent="0.25">
      <c r="A234" s="380"/>
      <c r="B234" s="376" t="s">
        <v>48</v>
      </c>
      <c r="C234" s="376"/>
      <c r="D234" s="109" t="s">
        <v>143</v>
      </c>
      <c r="E234" s="99">
        <v>14091</v>
      </c>
      <c r="F234" s="99">
        <v>14128</v>
      </c>
      <c r="G234" s="99">
        <v>14166</v>
      </c>
      <c r="H234" s="99">
        <v>14203</v>
      </c>
      <c r="I234" s="122"/>
      <c r="J234" s="122">
        <v>14203</v>
      </c>
      <c r="K234" s="99">
        <v>14241</v>
      </c>
      <c r="L234" s="99">
        <v>14278</v>
      </c>
      <c r="M234" s="99">
        <v>14316</v>
      </c>
      <c r="N234" s="99">
        <v>14353</v>
      </c>
      <c r="O234" s="122"/>
      <c r="P234" s="122">
        <v>14353</v>
      </c>
      <c r="Q234" s="99">
        <v>14391</v>
      </c>
      <c r="R234" s="99">
        <v>14428</v>
      </c>
      <c r="S234" s="99">
        <v>14466</v>
      </c>
      <c r="T234" s="99">
        <v>14503</v>
      </c>
      <c r="U234" s="122"/>
      <c r="V234" s="122">
        <v>14503</v>
      </c>
      <c r="W234" s="99">
        <v>15585</v>
      </c>
      <c r="X234" s="99">
        <v>16667</v>
      </c>
      <c r="Y234" s="99">
        <v>17748</v>
      </c>
      <c r="Z234" s="99">
        <v>18830</v>
      </c>
      <c r="AA234" s="122"/>
      <c r="AB234" s="122">
        <v>18830</v>
      </c>
      <c r="AC234" s="99">
        <v>18788</v>
      </c>
      <c r="AD234" s="99">
        <v>18802</v>
      </c>
      <c r="AE234" s="99">
        <v>18816</v>
      </c>
      <c r="AF234" s="99">
        <v>18830</v>
      </c>
      <c r="AG234" s="122"/>
      <c r="AH234" s="122">
        <v>18830</v>
      </c>
    </row>
    <row r="235" spans="1:34" ht="36" customHeight="1" thickBot="1" x14ac:dyDescent="0.25">
      <c r="A235" s="380"/>
      <c r="B235" s="376"/>
      <c r="C235" s="376"/>
      <c r="D235" s="109" t="s">
        <v>143</v>
      </c>
      <c r="E235" s="122">
        <f>19728-140</f>
        <v>19588</v>
      </c>
      <c r="F235" s="122">
        <f>19728-140</f>
        <v>19588</v>
      </c>
      <c r="G235" s="122">
        <f>19728-140</f>
        <v>19588</v>
      </c>
      <c r="H235" s="122">
        <f>19728-140</f>
        <v>19588</v>
      </c>
      <c r="I235" s="122"/>
      <c r="J235" s="122">
        <f>19728-140</f>
        <v>19588</v>
      </c>
      <c r="K235" s="122">
        <f>E235-140</f>
        <v>19448</v>
      </c>
      <c r="L235" s="122">
        <f>F235-140</f>
        <v>19448</v>
      </c>
      <c r="M235" s="122">
        <f>G235-140</f>
        <v>19448</v>
      </c>
      <c r="N235" s="122">
        <f>H235-140</f>
        <v>19448</v>
      </c>
      <c r="O235" s="122"/>
      <c r="P235" s="122">
        <f>J235-140</f>
        <v>19448</v>
      </c>
      <c r="Q235" s="122">
        <f>K235-140</f>
        <v>19308</v>
      </c>
      <c r="R235" s="122">
        <f>L235-140</f>
        <v>19308</v>
      </c>
      <c r="S235" s="122">
        <f>M235-140</f>
        <v>19308</v>
      </c>
      <c r="T235" s="122">
        <f>N235-140</f>
        <v>19308</v>
      </c>
      <c r="U235" s="122"/>
      <c r="V235" s="122">
        <f>P235-140</f>
        <v>19308</v>
      </c>
      <c r="W235" s="122">
        <f>Q235-140</f>
        <v>19168</v>
      </c>
      <c r="X235" s="122">
        <f>R235-140</f>
        <v>19168</v>
      </c>
      <c r="Y235" s="122">
        <f>S235-140</f>
        <v>19168</v>
      </c>
      <c r="Z235" s="122">
        <f>T235-140</f>
        <v>19168</v>
      </c>
      <c r="AA235" s="122"/>
      <c r="AB235" s="122">
        <f>V235-140</f>
        <v>19168</v>
      </c>
      <c r="AC235" s="122">
        <f>W235-149</f>
        <v>19019</v>
      </c>
      <c r="AD235" s="122">
        <f>X235-149</f>
        <v>19019</v>
      </c>
      <c r="AE235" s="122">
        <f>Y235-149</f>
        <v>19019</v>
      </c>
      <c r="AF235" s="122">
        <f>Z235-149</f>
        <v>19019</v>
      </c>
      <c r="AG235" s="122"/>
      <c r="AH235" s="122">
        <f>AB235-149</f>
        <v>19019</v>
      </c>
    </row>
    <row r="236" spans="1:34" ht="10.8" thickBot="1" x14ac:dyDescent="0.25">
      <c r="A236" s="97">
        <v>3.2</v>
      </c>
      <c r="B236" s="398" t="s">
        <v>37</v>
      </c>
      <c r="C236" s="399"/>
      <c r="D236" s="363"/>
      <c r="E236" s="363"/>
      <c r="F236" s="363"/>
      <c r="G236" s="363"/>
      <c r="H236" s="363"/>
      <c r="I236" s="363"/>
      <c r="J236" s="363"/>
      <c r="K236" s="363"/>
      <c r="L236" s="363"/>
      <c r="M236" s="363"/>
      <c r="N236" s="363"/>
      <c r="O236" s="363"/>
      <c r="P236" s="363"/>
      <c r="Q236" s="363"/>
      <c r="R236" s="363"/>
      <c r="S236" s="363"/>
      <c r="T236" s="363"/>
      <c r="U236" s="363"/>
      <c r="V236" s="363"/>
      <c r="W236" s="363"/>
      <c r="X236" s="363"/>
      <c r="Y236" s="363"/>
      <c r="Z236" s="363"/>
      <c r="AA236" s="363"/>
      <c r="AB236" s="363"/>
      <c r="AC236" s="363"/>
      <c r="AD236" s="363"/>
      <c r="AE236" s="363"/>
      <c r="AF236" s="363"/>
      <c r="AG236" s="363"/>
      <c r="AH236" s="364"/>
    </row>
    <row r="237" spans="1:34" ht="15.75" customHeight="1" thickBot="1" x14ac:dyDescent="0.25">
      <c r="A237" s="382"/>
      <c r="B237" s="376" t="s">
        <v>102</v>
      </c>
      <c r="C237" s="137"/>
      <c r="D237" s="357" t="s">
        <v>78</v>
      </c>
      <c r="E237" s="351">
        <v>0</v>
      </c>
      <c r="F237" s="351">
        <v>0</v>
      </c>
      <c r="G237" s="351">
        <v>0</v>
      </c>
      <c r="H237" s="351">
        <v>0</v>
      </c>
      <c r="I237" s="127"/>
      <c r="J237" s="351">
        <v>0</v>
      </c>
      <c r="K237" s="351">
        <v>0</v>
      </c>
      <c r="L237" s="351">
        <v>0</v>
      </c>
      <c r="M237" s="351">
        <v>0</v>
      </c>
      <c r="N237" s="351">
        <v>0</v>
      </c>
      <c r="O237" s="127"/>
      <c r="P237" s="351">
        <v>0</v>
      </c>
      <c r="Q237" s="351">
        <v>0</v>
      </c>
      <c r="R237" s="351">
        <v>0</v>
      </c>
      <c r="S237" s="351">
        <v>0</v>
      </c>
      <c r="T237" s="351">
        <v>0</v>
      </c>
      <c r="U237" s="127"/>
      <c r="V237" s="351">
        <v>0</v>
      </c>
      <c r="W237" s="351">
        <v>0</v>
      </c>
      <c r="X237" s="351">
        <v>0</v>
      </c>
      <c r="Y237" s="351">
        <v>0</v>
      </c>
      <c r="Z237" s="351">
        <v>0</v>
      </c>
      <c r="AA237" s="127"/>
      <c r="AB237" s="351">
        <v>0</v>
      </c>
      <c r="AC237" s="351">
        <v>0</v>
      </c>
      <c r="AD237" s="351">
        <v>0</v>
      </c>
      <c r="AE237" s="351">
        <v>0</v>
      </c>
      <c r="AF237" s="351">
        <v>0</v>
      </c>
      <c r="AG237" s="127"/>
      <c r="AH237" s="351">
        <v>0</v>
      </c>
    </row>
    <row r="238" spans="1:34" ht="15.75" customHeight="1" thickBot="1" x14ac:dyDescent="0.25">
      <c r="A238" s="269"/>
      <c r="B238" s="384"/>
      <c r="C238" s="123" t="s">
        <v>26</v>
      </c>
      <c r="D238" s="357"/>
      <c r="E238" s="351"/>
      <c r="F238" s="351"/>
      <c r="G238" s="351"/>
      <c r="H238" s="351"/>
      <c r="I238" s="127"/>
      <c r="J238" s="351"/>
      <c r="K238" s="351"/>
      <c r="L238" s="351"/>
      <c r="M238" s="351"/>
      <c r="N238" s="351"/>
      <c r="O238" s="127"/>
      <c r="P238" s="351"/>
      <c r="Q238" s="351"/>
      <c r="R238" s="351"/>
      <c r="S238" s="351"/>
      <c r="T238" s="351"/>
      <c r="U238" s="127"/>
      <c r="V238" s="351"/>
      <c r="W238" s="351"/>
      <c r="X238" s="351"/>
      <c r="Y238" s="351"/>
      <c r="Z238" s="351"/>
      <c r="AA238" s="127"/>
      <c r="AB238" s="351"/>
      <c r="AC238" s="351"/>
      <c r="AD238" s="351"/>
      <c r="AE238" s="351"/>
      <c r="AF238" s="351"/>
      <c r="AG238" s="127"/>
      <c r="AH238" s="351"/>
    </row>
    <row r="239" spans="1:34" ht="15.75" customHeight="1" thickBot="1" x14ac:dyDescent="0.25">
      <c r="A239" s="269"/>
      <c r="B239" s="384"/>
      <c r="C239" s="381" t="s">
        <v>7</v>
      </c>
      <c r="D239" s="357" t="s">
        <v>78</v>
      </c>
      <c r="E239" s="351">
        <v>0.01</v>
      </c>
      <c r="F239" s="351">
        <v>0.01</v>
      </c>
      <c r="G239" s="351">
        <v>0.01</v>
      </c>
      <c r="H239" s="351">
        <v>0.01</v>
      </c>
      <c r="I239" s="127"/>
      <c r="J239" s="351">
        <v>0.01</v>
      </c>
      <c r="K239" s="351">
        <v>0.01</v>
      </c>
      <c r="L239" s="351">
        <v>0.01</v>
      </c>
      <c r="M239" s="351">
        <v>0.01</v>
      </c>
      <c r="N239" s="351">
        <v>0.01</v>
      </c>
      <c r="O239" s="127"/>
      <c r="P239" s="351">
        <v>0.01</v>
      </c>
      <c r="Q239" s="351">
        <v>0.01</v>
      </c>
      <c r="R239" s="351">
        <v>0.01</v>
      </c>
      <c r="S239" s="351">
        <v>0.01</v>
      </c>
      <c r="T239" s="351">
        <v>0.01</v>
      </c>
      <c r="U239" s="127"/>
      <c r="V239" s="351">
        <v>0.01</v>
      </c>
      <c r="W239" s="351">
        <v>0.01</v>
      </c>
      <c r="X239" s="351">
        <v>0.01</v>
      </c>
      <c r="Y239" s="351">
        <v>0.01</v>
      </c>
      <c r="Z239" s="351">
        <v>0.01</v>
      </c>
      <c r="AA239" s="127"/>
      <c r="AB239" s="351">
        <v>0.01</v>
      </c>
      <c r="AC239" s="351">
        <v>0.01</v>
      </c>
      <c r="AD239" s="351">
        <v>0.01</v>
      </c>
      <c r="AE239" s="351">
        <v>0.01</v>
      </c>
      <c r="AF239" s="351">
        <v>0.01</v>
      </c>
      <c r="AG239" s="127"/>
      <c r="AH239" s="351">
        <v>0.01</v>
      </c>
    </row>
    <row r="240" spans="1:34" ht="15.75" customHeight="1" thickBot="1" x14ac:dyDescent="0.25">
      <c r="A240" s="269"/>
      <c r="B240" s="384"/>
      <c r="C240" s="369"/>
      <c r="D240" s="357"/>
      <c r="E240" s="351"/>
      <c r="F240" s="351"/>
      <c r="G240" s="351"/>
      <c r="H240" s="351"/>
      <c r="I240" s="127"/>
      <c r="J240" s="351"/>
      <c r="K240" s="351"/>
      <c r="L240" s="351"/>
      <c r="M240" s="351"/>
      <c r="N240" s="351"/>
      <c r="O240" s="127"/>
      <c r="P240" s="351"/>
      <c r="Q240" s="351"/>
      <c r="R240" s="351"/>
      <c r="S240" s="351"/>
      <c r="T240" s="351"/>
      <c r="U240" s="127"/>
      <c r="V240" s="351"/>
      <c r="W240" s="351"/>
      <c r="X240" s="351"/>
      <c r="Y240" s="351"/>
      <c r="Z240" s="351"/>
      <c r="AA240" s="127"/>
      <c r="AB240" s="351"/>
      <c r="AC240" s="351"/>
      <c r="AD240" s="351"/>
      <c r="AE240" s="351"/>
      <c r="AF240" s="351"/>
      <c r="AG240" s="127"/>
      <c r="AH240" s="351"/>
    </row>
    <row r="241" spans="1:34" ht="23.25" customHeight="1" thickBot="1" x14ac:dyDescent="0.25">
      <c r="A241" s="269"/>
      <c r="B241" s="384"/>
      <c r="C241" s="381" t="s">
        <v>8</v>
      </c>
      <c r="D241" s="357" t="s">
        <v>78</v>
      </c>
      <c r="E241" s="351">
        <v>0.01</v>
      </c>
      <c r="F241" s="351">
        <v>0.01</v>
      </c>
      <c r="G241" s="351">
        <v>0.01</v>
      </c>
      <c r="H241" s="351">
        <v>0.01</v>
      </c>
      <c r="I241" s="127"/>
      <c r="J241" s="351">
        <v>0.01</v>
      </c>
      <c r="K241" s="351">
        <v>0.01</v>
      </c>
      <c r="L241" s="351">
        <v>0.01</v>
      </c>
      <c r="M241" s="351">
        <v>0.01</v>
      </c>
      <c r="N241" s="351">
        <v>0.01</v>
      </c>
      <c r="O241" s="127"/>
      <c r="P241" s="351">
        <v>0.01</v>
      </c>
      <c r="Q241" s="351">
        <v>0.01</v>
      </c>
      <c r="R241" s="351">
        <v>0.01</v>
      </c>
      <c r="S241" s="351">
        <v>0.01</v>
      </c>
      <c r="T241" s="351">
        <v>0.01</v>
      </c>
      <c r="U241" s="127"/>
      <c r="V241" s="351">
        <v>0.01</v>
      </c>
      <c r="W241" s="351">
        <v>0.01</v>
      </c>
      <c r="X241" s="351">
        <v>0.01</v>
      </c>
      <c r="Y241" s="351">
        <v>0.01</v>
      </c>
      <c r="Z241" s="351">
        <v>0.01</v>
      </c>
      <c r="AA241" s="127"/>
      <c r="AB241" s="351">
        <v>0.01</v>
      </c>
      <c r="AC241" s="351">
        <v>0.01</v>
      </c>
      <c r="AD241" s="351">
        <v>0.01</v>
      </c>
      <c r="AE241" s="351">
        <v>0.01</v>
      </c>
      <c r="AF241" s="351">
        <v>0.01</v>
      </c>
      <c r="AG241" s="127"/>
      <c r="AH241" s="351">
        <v>0.01</v>
      </c>
    </row>
    <row r="242" spans="1:34" ht="24" customHeight="1" thickBot="1" x14ac:dyDescent="0.25">
      <c r="A242" s="269"/>
      <c r="B242" s="384"/>
      <c r="C242" s="369"/>
      <c r="D242" s="357"/>
      <c r="E242" s="351"/>
      <c r="F242" s="351"/>
      <c r="G242" s="351"/>
      <c r="H242" s="351"/>
      <c r="I242" s="127"/>
      <c r="J242" s="351"/>
      <c r="K242" s="351"/>
      <c r="L242" s="351"/>
      <c r="M242" s="351"/>
      <c r="N242" s="351"/>
      <c r="O242" s="127"/>
      <c r="P242" s="351"/>
      <c r="Q242" s="351"/>
      <c r="R242" s="351"/>
      <c r="S242" s="351"/>
      <c r="T242" s="351"/>
      <c r="U242" s="127"/>
      <c r="V242" s="351"/>
      <c r="W242" s="351"/>
      <c r="X242" s="351"/>
      <c r="Y242" s="351"/>
      <c r="Z242" s="351"/>
      <c r="AA242" s="127"/>
      <c r="AB242" s="351"/>
      <c r="AC242" s="351"/>
      <c r="AD242" s="351"/>
      <c r="AE242" s="351"/>
      <c r="AF242" s="351"/>
      <c r="AG242" s="127"/>
      <c r="AH242" s="351"/>
    </row>
    <row r="243" spans="1:34" ht="15.75" customHeight="1" thickBot="1" x14ac:dyDescent="0.25">
      <c r="A243" s="269"/>
      <c r="B243" s="388" t="s">
        <v>103</v>
      </c>
      <c r="C243" s="381" t="s">
        <v>26</v>
      </c>
      <c r="D243" s="357" t="s">
        <v>78</v>
      </c>
      <c r="E243" s="351">
        <v>0</v>
      </c>
      <c r="F243" s="351">
        <v>0</v>
      </c>
      <c r="G243" s="351">
        <v>0</v>
      </c>
      <c r="H243" s="351">
        <v>0</v>
      </c>
      <c r="I243" s="127"/>
      <c r="J243" s="351">
        <v>0</v>
      </c>
      <c r="K243" s="351">
        <v>0</v>
      </c>
      <c r="L243" s="351">
        <v>0</v>
      </c>
      <c r="M243" s="351">
        <v>0</v>
      </c>
      <c r="N243" s="351">
        <v>0</v>
      </c>
      <c r="O243" s="127"/>
      <c r="P243" s="351">
        <v>0</v>
      </c>
      <c r="Q243" s="351">
        <v>0</v>
      </c>
      <c r="R243" s="351">
        <v>0</v>
      </c>
      <c r="S243" s="351">
        <v>0</v>
      </c>
      <c r="T243" s="351">
        <v>0</v>
      </c>
      <c r="U243" s="127"/>
      <c r="V243" s="351">
        <v>0</v>
      </c>
      <c r="W243" s="351">
        <v>0</v>
      </c>
      <c r="X243" s="351">
        <v>0</v>
      </c>
      <c r="Y243" s="351">
        <v>0</v>
      </c>
      <c r="Z243" s="351">
        <v>0</v>
      </c>
      <c r="AA243" s="127"/>
      <c r="AB243" s="351">
        <v>0</v>
      </c>
      <c r="AC243" s="351">
        <v>0</v>
      </c>
      <c r="AD243" s="351">
        <v>0</v>
      </c>
      <c r="AE243" s="351">
        <v>0</v>
      </c>
      <c r="AF243" s="351">
        <v>0</v>
      </c>
      <c r="AG243" s="127"/>
      <c r="AH243" s="351">
        <v>0</v>
      </c>
    </row>
    <row r="244" spans="1:34" ht="15.75" customHeight="1" thickBot="1" x14ac:dyDescent="0.25">
      <c r="A244" s="269"/>
      <c r="B244" s="388"/>
      <c r="C244" s="369"/>
      <c r="D244" s="357"/>
      <c r="E244" s="351"/>
      <c r="F244" s="351"/>
      <c r="G244" s="351"/>
      <c r="H244" s="351"/>
      <c r="I244" s="127"/>
      <c r="J244" s="351"/>
      <c r="K244" s="351"/>
      <c r="L244" s="351"/>
      <c r="M244" s="351"/>
      <c r="N244" s="351"/>
      <c r="O244" s="127"/>
      <c r="P244" s="351"/>
      <c r="Q244" s="351"/>
      <c r="R244" s="351"/>
      <c r="S244" s="351"/>
      <c r="T244" s="351"/>
      <c r="U244" s="127"/>
      <c r="V244" s="351"/>
      <c r="W244" s="351"/>
      <c r="X244" s="351"/>
      <c r="Y244" s="351"/>
      <c r="Z244" s="351"/>
      <c r="AA244" s="127"/>
      <c r="AB244" s="351"/>
      <c r="AC244" s="351"/>
      <c r="AD244" s="351"/>
      <c r="AE244" s="351"/>
      <c r="AF244" s="351"/>
      <c r="AG244" s="127"/>
      <c r="AH244" s="351"/>
    </row>
    <row r="245" spans="1:34" ht="15.75" customHeight="1" thickBot="1" x14ac:dyDescent="0.25">
      <c r="A245" s="269"/>
      <c r="B245" s="388"/>
      <c r="C245" s="381" t="s">
        <v>7</v>
      </c>
      <c r="D245" s="357" t="s">
        <v>78</v>
      </c>
      <c r="E245" s="351">
        <v>0</v>
      </c>
      <c r="F245" s="351">
        <v>0</v>
      </c>
      <c r="G245" s="351">
        <v>0</v>
      </c>
      <c r="H245" s="351">
        <v>0</v>
      </c>
      <c r="I245" s="127"/>
      <c r="J245" s="351">
        <v>0</v>
      </c>
      <c r="K245" s="351">
        <v>0</v>
      </c>
      <c r="L245" s="351">
        <v>0</v>
      </c>
      <c r="M245" s="351">
        <v>0</v>
      </c>
      <c r="N245" s="351">
        <v>0</v>
      </c>
      <c r="O245" s="127"/>
      <c r="P245" s="351">
        <v>0</v>
      </c>
      <c r="Q245" s="351">
        <v>0</v>
      </c>
      <c r="R245" s="351">
        <v>0</v>
      </c>
      <c r="S245" s="351">
        <v>0</v>
      </c>
      <c r="T245" s="351">
        <v>0</v>
      </c>
      <c r="U245" s="127"/>
      <c r="V245" s="351">
        <v>0</v>
      </c>
      <c r="W245" s="351">
        <v>0</v>
      </c>
      <c r="X245" s="351">
        <v>0</v>
      </c>
      <c r="Y245" s="351">
        <v>0</v>
      </c>
      <c r="Z245" s="351">
        <v>0</v>
      </c>
      <c r="AA245" s="127"/>
      <c r="AB245" s="351">
        <v>0</v>
      </c>
      <c r="AC245" s="351">
        <v>0</v>
      </c>
      <c r="AD245" s="351">
        <v>0</v>
      </c>
      <c r="AE245" s="351">
        <v>0</v>
      </c>
      <c r="AF245" s="351">
        <v>0</v>
      </c>
      <c r="AG245" s="127"/>
      <c r="AH245" s="351">
        <v>0</v>
      </c>
    </row>
    <row r="246" spans="1:34" ht="15.75" customHeight="1" thickBot="1" x14ac:dyDescent="0.25">
      <c r="A246" s="269"/>
      <c r="B246" s="388"/>
      <c r="C246" s="369"/>
      <c r="D246" s="357"/>
      <c r="E246" s="351"/>
      <c r="F246" s="351"/>
      <c r="G246" s="351"/>
      <c r="H246" s="351"/>
      <c r="I246" s="127"/>
      <c r="J246" s="351"/>
      <c r="K246" s="351"/>
      <c r="L246" s="351"/>
      <c r="M246" s="351"/>
      <c r="N246" s="351"/>
      <c r="O246" s="127"/>
      <c r="P246" s="351"/>
      <c r="Q246" s="351"/>
      <c r="R246" s="351"/>
      <c r="S246" s="351"/>
      <c r="T246" s="351"/>
      <c r="U246" s="127"/>
      <c r="V246" s="351"/>
      <c r="W246" s="351"/>
      <c r="X246" s="351"/>
      <c r="Y246" s="351"/>
      <c r="Z246" s="351"/>
      <c r="AA246" s="127"/>
      <c r="AB246" s="351"/>
      <c r="AC246" s="351"/>
      <c r="AD246" s="351"/>
      <c r="AE246" s="351"/>
      <c r="AF246" s="351"/>
      <c r="AG246" s="127"/>
      <c r="AH246" s="351"/>
    </row>
    <row r="247" spans="1:34" ht="15.75" customHeight="1" thickBot="1" x14ac:dyDescent="0.25">
      <c r="A247" s="269"/>
      <c r="B247" s="388"/>
      <c r="C247" s="369" t="s">
        <v>8</v>
      </c>
      <c r="D247" s="357" t="s">
        <v>78</v>
      </c>
      <c r="E247" s="351">
        <v>0</v>
      </c>
      <c r="F247" s="351">
        <v>0</v>
      </c>
      <c r="G247" s="351">
        <v>0</v>
      </c>
      <c r="H247" s="351">
        <v>0</v>
      </c>
      <c r="I247" s="127"/>
      <c r="J247" s="351">
        <v>0</v>
      </c>
      <c r="K247" s="351">
        <v>0</v>
      </c>
      <c r="L247" s="351">
        <v>0</v>
      </c>
      <c r="M247" s="351">
        <v>0</v>
      </c>
      <c r="N247" s="351">
        <v>0</v>
      </c>
      <c r="O247" s="127"/>
      <c r="P247" s="351">
        <v>0</v>
      </c>
      <c r="Q247" s="351">
        <v>0</v>
      </c>
      <c r="R247" s="351">
        <v>0</v>
      </c>
      <c r="S247" s="351">
        <v>0</v>
      </c>
      <c r="T247" s="351">
        <v>0</v>
      </c>
      <c r="U247" s="127"/>
      <c r="V247" s="351">
        <v>0</v>
      </c>
      <c r="W247" s="351">
        <v>0</v>
      </c>
      <c r="X247" s="351">
        <v>0</v>
      </c>
      <c r="Y247" s="351">
        <v>0</v>
      </c>
      <c r="Z247" s="351">
        <v>0</v>
      </c>
      <c r="AA247" s="127"/>
      <c r="AB247" s="351">
        <v>0</v>
      </c>
      <c r="AC247" s="351">
        <v>0</v>
      </c>
      <c r="AD247" s="351">
        <v>0</v>
      </c>
      <c r="AE247" s="351">
        <v>0</v>
      </c>
      <c r="AF247" s="351">
        <v>0</v>
      </c>
      <c r="AG247" s="127"/>
      <c r="AH247" s="351">
        <v>0</v>
      </c>
    </row>
    <row r="248" spans="1:34" ht="42.6" customHeight="1" thickBot="1" x14ac:dyDescent="0.25">
      <c r="A248" s="269"/>
      <c r="B248" s="388"/>
      <c r="C248" s="369"/>
      <c r="D248" s="357"/>
      <c r="E248" s="351"/>
      <c r="F248" s="351"/>
      <c r="G248" s="351"/>
      <c r="H248" s="351"/>
      <c r="I248" s="127"/>
      <c r="J248" s="351"/>
      <c r="K248" s="351"/>
      <c r="L248" s="351"/>
      <c r="M248" s="351"/>
      <c r="N248" s="351"/>
      <c r="O248" s="127"/>
      <c r="P248" s="351"/>
      <c r="Q248" s="351"/>
      <c r="R248" s="351"/>
      <c r="S248" s="351"/>
      <c r="T248" s="351"/>
      <c r="U248" s="127"/>
      <c r="V248" s="351"/>
      <c r="W248" s="351"/>
      <c r="X248" s="351"/>
      <c r="Y248" s="351"/>
      <c r="Z248" s="351"/>
      <c r="AA248" s="127"/>
      <c r="AB248" s="351"/>
      <c r="AC248" s="351"/>
      <c r="AD248" s="351"/>
      <c r="AE248" s="351"/>
      <c r="AF248" s="351"/>
      <c r="AG248" s="127"/>
      <c r="AH248" s="351"/>
    </row>
    <row r="249" spans="1:34" ht="15.75" customHeight="1" thickBot="1" x14ac:dyDescent="0.25">
      <c r="A249" s="269"/>
      <c r="B249" s="376" t="s">
        <v>49</v>
      </c>
      <c r="C249" s="378" t="s">
        <v>26</v>
      </c>
      <c r="D249" s="357" t="s">
        <v>78</v>
      </c>
      <c r="E249" s="351">
        <v>0</v>
      </c>
      <c r="F249" s="351">
        <v>0</v>
      </c>
      <c r="G249" s="351">
        <v>0</v>
      </c>
      <c r="H249" s="351">
        <v>0</v>
      </c>
      <c r="I249" s="127"/>
      <c r="J249" s="351">
        <v>0</v>
      </c>
      <c r="K249" s="351">
        <v>0</v>
      </c>
      <c r="L249" s="351">
        <v>0</v>
      </c>
      <c r="M249" s="351">
        <v>0</v>
      </c>
      <c r="N249" s="351">
        <v>0</v>
      </c>
      <c r="O249" s="127"/>
      <c r="P249" s="351">
        <v>0</v>
      </c>
      <c r="Q249" s="351">
        <v>0</v>
      </c>
      <c r="R249" s="351">
        <v>0</v>
      </c>
      <c r="S249" s="351">
        <v>0</v>
      </c>
      <c r="T249" s="351">
        <v>0</v>
      </c>
      <c r="U249" s="127"/>
      <c r="V249" s="351">
        <v>0</v>
      </c>
      <c r="W249" s="351">
        <v>0</v>
      </c>
      <c r="X249" s="351">
        <v>0</v>
      </c>
      <c r="Y249" s="351">
        <v>0</v>
      </c>
      <c r="Z249" s="351">
        <v>0</v>
      </c>
      <c r="AA249" s="127"/>
      <c r="AB249" s="351">
        <v>0</v>
      </c>
      <c r="AC249" s="351">
        <v>0</v>
      </c>
      <c r="AD249" s="351">
        <v>0</v>
      </c>
      <c r="AE249" s="351">
        <v>0</v>
      </c>
      <c r="AF249" s="351">
        <v>0</v>
      </c>
      <c r="AG249" s="127"/>
      <c r="AH249" s="351">
        <v>0</v>
      </c>
    </row>
    <row r="250" spans="1:34" ht="15.75" customHeight="1" thickBot="1" x14ac:dyDescent="0.25">
      <c r="A250" s="269"/>
      <c r="B250" s="376"/>
      <c r="C250" s="378"/>
      <c r="D250" s="357"/>
      <c r="E250" s="351"/>
      <c r="F250" s="351"/>
      <c r="G250" s="351"/>
      <c r="H250" s="351"/>
      <c r="I250" s="127"/>
      <c r="J250" s="351"/>
      <c r="K250" s="351"/>
      <c r="L250" s="351"/>
      <c r="M250" s="351"/>
      <c r="N250" s="351"/>
      <c r="O250" s="127"/>
      <c r="P250" s="351"/>
      <c r="Q250" s="351"/>
      <c r="R250" s="351"/>
      <c r="S250" s="351"/>
      <c r="T250" s="351"/>
      <c r="U250" s="127"/>
      <c r="V250" s="351"/>
      <c r="W250" s="351"/>
      <c r="X250" s="351"/>
      <c r="Y250" s="351"/>
      <c r="Z250" s="351"/>
      <c r="AA250" s="127"/>
      <c r="AB250" s="351"/>
      <c r="AC250" s="351"/>
      <c r="AD250" s="351"/>
      <c r="AE250" s="351"/>
      <c r="AF250" s="351"/>
      <c r="AG250" s="127"/>
      <c r="AH250" s="351"/>
    </row>
    <row r="251" spans="1:34" ht="15.75" customHeight="1" thickBot="1" x14ac:dyDescent="0.25">
      <c r="A251" s="269"/>
      <c r="B251" s="376"/>
      <c r="C251" s="378" t="s">
        <v>7</v>
      </c>
      <c r="D251" s="357" t="s">
        <v>78</v>
      </c>
      <c r="E251" s="351">
        <v>0.02</v>
      </c>
      <c r="F251" s="351">
        <v>0.02</v>
      </c>
      <c r="G251" s="351">
        <v>0.02</v>
      </c>
      <c r="H251" s="351">
        <v>0.02</v>
      </c>
      <c r="I251" s="127"/>
      <c r="J251" s="351">
        <v>0.02</v>
      </c>
      <c r="K251" s="351">
        <v>0.02</v>
      </c>
      <c r="L251" s="351">
        <v>0.02</v>
      </c>
      <c r="M251" s="351">
        <v>0.02</v>
      </c>
      <c r="N251" s="351">
        <v>0.02</v>
      </c>
      <c r="O251" s="127"/>
      <c r="P251" s="351">
        <v>0.02</v>
      </c>
      <c r="Q251" s="351">
        <v>0.02</v>
      </c>
      <c r="R251" s="351">
        <v>0.02</v>
      </c>
      <c r="S251" s="351">
        <v>0.02</v>
      </c>
      <c r="T251" s="351">
        <v>0.02</v>
      </c>
      <c r="U251" s="127"/>
      <c r="V251" s="351">
        <v>0.02</v>
      </c>
      <c r="W251" s="351">
        <v>0.02</v>
      </c>
      <c r="X251" s="351">
        <v>0.02</v>
      </c>
      <c r="Y251" s="351">
        <v>0.02</v>
      </c>
      <c r="Z251" s="351">
        <v>0.02</v>
      </c>
      <c r="AA251" s="127"/>
      <c r="AB251" s="351">
        <v>0.02</v>
      </c>
      <c r="AC251" s="351">
        <v>0.02</v>
      </c>
      <c r="AD251" s="351">
        <v>0.02</v>
      </c>
      <c r="AE251" s="351">
        <v>0.02</v>
      </c>
      <c r="AF251" s="351">
        <v>0.02</v>
      </c>
      <c r="AG251" s="127"/>
      <c r="AH251" s="351">
        <v>0.02</v>
      </c>
    </row>
    <row r="252" spans="1:34" ht="15.75" customHeight="1" thickBot="1" x14ac:dyDescent="0.25">
      <c r="A252" s="269"/>
      <c r="B252" s="376"/>
      <c r="C252" s="378"/>
      <c r="D252" s="357"/>
      <c r="E252" s="351"/>
      <c r="F252" s="351"/>
      <c r="G252" s="351"/>
      <c r="H252" s="351"/>
      <c r="I252" s="127"/>
      <c r="J252" s="351"/>
      <c r="K252" s="351"/>
      <c r="L252" s="351"/>
      <c r="M252" s="351"/>
      <c r="N252" s="351"/>
      <c r="O252" s="127"/>
      <c r="P252" s="351"/>
      <c r="Q252" s="351"/>
      <c r="R252" s="351"/>
      <c r="S252" s="351"/>
      <c r="T252" s="351"/>
      <c r="U252" s="127"/>
      <c r="V252" s="351"/>
      <c r="W252" s="351"/>
      <c r="X252" s="351"/>
      <c r="Y252" s="351"/>
      <c r="Z252" s="351"/>
      <c r="AA252" s="127"/>
      <c r="AB252" s="351"/>
      <c r="AC252" s="351"/>
      <c r="AD252" s="351"/>
      <c r="AE252" s="351"/>
      <c r="AF252" s="351"/>
      <c r="AG252" s="127"/>
      <c r="AH252" s="351"/>
    </row>
    <row r="253" spans="1:34" ht="15.75" customHeight="1" thickBot="1" x14ac:dyDescent="0.25">
      <c r="A253" s="269"/>
      <c r="B253" s="376"/>
      <c r="C253" s="378" t="s">
        <v>8</v>
      </c>
      <c r="D253" s="357" t="s">
        <v>78</v>
      </c>
      <c r="E253" s="351">
        <v>0.04</v>
      </c>
      <c r="F253" s="351">
        <v>0.04</v>
      </c>
      <c r="G253" s="351">
        <v>0.04</v>
      </c>
      <c r="H253" s="351">
        <v>0.04</v>
      </c>
      <c r="I253" s="127"/>
      <c r="J253" s="351">
        <v>0.04</v>
      </c>
      <c r="K253" s="351">
        <v>0.04</v>
      </c>
      <c r="L253" s="351">
        <v>0.04</v>
      </c>
      <c r="M253" s="351">
        <v>0.04</v>
      </c>
      <c r="N253" s="351">
        <v>0.04</v>
      </c>
      <c r="O253" s="127"/>
      <c r="P253" s="351">
        <v>0.04</v>
      </c>
      <c r="Q253" s="351">
        <v>0.04</v>
      </c>
      <c r="R253" s="351">
        <v>0.04</v>
      </c>
      <c r="S253" s="351">
        <v>0.04</v>
      </c>
      <c r="T253" s="351">
        <v>0.04</v>
      </c>
      <c r="U253" s="127"/>
      <c r="V253" s="351">
        <v>0.04</v>
      </c>
      <c r="W253" s="351">
        <v>0.04</v>
      </c>
      <c r="X253" s="351">
        <v>0.04</v>
      </c>
      <c r="Y253" s="351">
        <v>0.04</v>
      </c>
      <c r="Z253" s="351">
        <v>0.04</v>
      </c>
      <c r="AA253" s="127"/>
      <c r="AB253" s="351">
        <v>0.04</v>
      </c>
      <c r="AC253" s="351">
        <v>0.04</v>
      </c>
      <c r="AD253" s="351">
        <v>0.04</v>
      </c>
      <c r="AE253" s="351">
        <v>0.04</v>
      </c>
      <c r="AF253" s="351">
        <v>0.04</v>
      </c>
      <c r="AG253" s="127"/>
      <c r="AH253" s="351">
        <v>0.04</v>
      </c>
    </row>
    <row r="254" spans="1:34" ht="56.4" customHeight="1" thickBot="1" x14ac:dyDescent="0.25">
      <c r="A254" s="383"/>
      <c r="B254" s="376"/>
      <c r="C254" s="378"/>
      <c r="D254" s="357"/>
      <c r="E254" s="351"/>
      <c r="F254" s="351"/>
      <c r="G254" s="351"/>
      <c r="H254" s="351"/>
      <c r="I254" s="127"/>
      <c r="J254" s="351"/>
      <c r="K254" s="351"/>
      <c r="L254" s="351"/>
      <c r="M254" s="351"/>
      <c r="N254" s="351"/>
      <c r="O254" s="127"/>
      <c r="P254" s="351"/>
      <c r="Q254" s="351"/>
      <c r="R254" s="351"/>
      <c r="S254" s="351"/>
      <c r="T254" s="351"/>
      <c r="U254" s="127"/>
      <c r="V254" s="351"/>
      <c r="W254" s="351"/>
      <c r="X254" s="351"/>
      <c r="Y254" s="351"/>
      <c r="Z254" s="351"/>
      <c r="AA254" s="127"/>
      <c r="AB254" s="351"/>
      <c r="AC254" s="351"/>
      <c r="AD254" s="351"/>
      <c r="AE254" s="351"/>
      <c r="AF254" s="351"/>
      <c r="AG254" s="127"/>
      <c r="AH254" s="351"/>
    </row>
    <row r="256" spans="1:34" x14ac:dyDescent="0.2">
      <c r="A256" s="9"/>
      <c r="B256" s="10"/>
      <c r="C256" s="9"/>
      <c r="D256" s="9"/>
    </row>
    <row r="259" spans="2:2" ht="91.8" x14ac:dyDescent="0.2">
      <c r="B259" s="31" t="s">
        <v>145</v>
      </c>
    </row>
  </sheetData>
  <mergeCells count="2862">
    <mergeCell ref="A59:A72"/>
    <mergeCell ref="B71:C72"/>
    <mergeCell ref="B69:C70"/>
    <mergeCell ref="B96:B101"/>
    <mergeCell ref="B83:B88"/>
    <mergeCell ref="B73:C73"/>
    <mergeCell ref="C83:C84"/>
    <mergeCell ref="C96:C97"/>
    <mergeCell ref="B59:C60"/>
    <mergeCell ref="C204:C205"/>
    <mergeCell ref="C202:C203"/>
    <mergeCell ref="C93:C94"/>
    <mergeCell ref="B89:B94"/>
    <mergeCell ref="C165:C166"/>
    <mergeCell ref="C161:C162"/>
    <mergeCell ref="B124:AH124"/>
    <mergeCell ref="B189:AH189"/>
    <mergeCell ref="A109:A123"/>
    <mergeCell ref="B183:B188"/>
    <mergeCell ref="B177:B182"/>
    <mergeCell ref="C183:C184"/>
    <mergeCell ref="A125:A151"/>
    <mergeCell ref="B143:B145"/>
    <mergeCell ref="C37:C38"/>
    <mergeCell ref="C29:C30"/>
    <mergeCell ref="C23:C24"/>
    <mergeCell ref="C25:C26"/>
    <mergeCell ref="C10:C12"/>
    <mergeCell ref="C21:C22"/>
    <mergeCell ref="B15:B20"/>
    <mergeCell ref="C15:C16"/>
    <mergeCell ref="C19:C20"/>
    <mergeCell ref="C171:C172"/>
    <mergeCell ref="B67:C68"/>
    <mergeCell ref="B65:C66"/>
    <mergeCell ref="B159:B164"/>
    <mergeCell ref="B165:B170"/>
    <mergeCell ref="C40:C41"/>
    <mergeCell ref="B52:B57"/>
    <mergeCell ref="C56:C57"/>
    <mergeCell ref="C46:C47"/>
    <mergeCell ref="C50:C51"/>
    <mergeCell ref="C31:C32"/>
    <mergeCell ref="B27:B32"/>
    <mergeCell ref="C27:C28"/>
    <mergeCell ref="C48:C49"/>
    <mergeCell ref="B46:B51"/>
    <mergeCell ref="B39:C39"/>
    <mergeCell ref="C42:C43"/>
    <mergeCell ref="C157:C158"/>
    <mergeCell ref="C153:C154"/>
    <mergeCell ref="C159:C160"/>
    <mergeCell ref="B95:C95"/>
    <mergeCell ref="B58:AH58"/>
    <mergeCell ref="A4:C4"/>
    <mergeCell ref="A40:A57"/>
    <mergeCell ref="A74:A79"/>
    <mergeCell ref="C54:C55"/>
    <mergeCell ref="B10:B12"/>
    <mergeCell ref="B40:B45"/>
    <mergeCell ref="C44:C45"/>
    <mergeCell ref="C52:C53"/>
    <mergeCell ref="C17:C18"/>
    <mergeCell ref="B21:B26"/>
    <mergeCell ref="B63:C64"/>
    <mergeCell ref="B61:C62"/>
    <mergeCell ref="B243:B248"/>
    <mergeCell ref="B74:C75"/>
    <mergeCell ref="B76:C76"/>
    <mergeCell ref="B77:C77"/>
    <mergeCell ref="B78:C79"/>
    <mergeCell ref="B125:B130"/>
    <mergeCell ref="C139:C140"/>
    <mergeCell ref="C175:C176"/>
    <mergeCell ref="C155:C156"/>
    <mergeCell ref="C173:C174"/>
    <mergeCell ref="B230:C231"/>
    <mergeCell ref="A222:A223"/>
    <mergeCell ref="B200:C201"/>
    <mergeCell ref="B198:C199"/>
    <mergeCell ref="B226:C227"/>
    <mergeCell ref="B210:C211"/>
    <mergeCell ref="B208:C209"/>
    <mergeCell ref="C206:C207"/>
    <mergeCell ref="B222:B223"/>
    <mergeCell ref="A190:A193"/>
    <mergeCell ref="B192:C193"/>
    <mergeCell ref="B171:B176"/>
    <mergeCell ref="C187:C188"/>
    <mergeCell ref="B213:C214"/>
    <mergeCell ref="A213:A218"/>
    <mergeCell ref="B217:C218"/>
    <mergeCell ref="A196:A211"/>
    <mergeCell ref="B202:B207"/>
    <mergeCell ref="B215:C216"/>
    <mergeCell ref="B196:C197"/>
    <mergeCell ref="C253:C254"/>
    <mergeCell ref="C222:C223"/>
    <mergeCell ref="B118:B123"/>
    <mergeCell ref="B190:C191"/>
    <mergeCell ref="C137:C138"/>
    <mergeCell ref="C148:C149"/>
    <mergeCell ref="C146:C147"/>
    <mergeCell ref="B228:C229"/>
    <mergeCell ref="B232:C233"/>
    <mergeCell ref="C131:C132"/>
    <mergeCell ref="C122:C123"/>
    <mergeCell ref="A153:A188"/>
    <mergeCell ref="B146:B151"/>
    <mergeCell ref="B152:AH152"/>
    <mergeCell ref="C141:C142"/>
    <mergeCell ref="B212:AH212"/>
    <mergeCell ref="B236:AH236"/>
    <mergeCell ref="C167:C168"/>
    <mergeCell ref="C163:C164"/>
    <mergeCell ref="C169:C170"/>
    <mergeCell ref="B153:B158"/>
    <mergeCell ref="C106:C107"/>
    <mergeCell ref="C133:C134"/>
    <mergeCell ref="C129:C130"/>
    <mergeCell ref="C116:C117"/>
    <mergeCell ref="B112:B117"/>
    <mergeCell ref="C114:C115"/>
    <mergeCell ref="C127:C128"/>
    <mergeCell ref="C112:C113"/>
    <mergeCell ref="C125:C126"/>
    <mergeCell ref="B108:C108"/>
    <mergeCell ref="B110:C111"/>
    <mergeCell ref="B137:B142"/>
    <mergeCell ref="C150:C151"/>
    <mergeCell ref="B81:C81"/>
    <mergeCell ref="C85:C86"/>
    <mergeCell ref="B102:B107"/>
    <mergeCell ref="C102:C103"/>
    <mergeCell ref="C104:C105"/>
    <mergeCell ref="B234:C235"/>
    <mergeCell ref="C249:C250"/>
    <mergeCell ref="A226:A235"/>
    <mergeCell ref="B249:B254"/>
    <mergeCell ref="C239:C240"/>
    <mergeCell ref="A237:A254"/>
    <mergeCell ref="B237:B242"/>
    <mergeCell ref="C241:C242"/>
    <mergeCell ref="C243:C244"/>
    <mergeCell ref="C245:C246"/>
    <mergeCell ref="C251:C252"/>
    <mergeCell ref="C247:C248"/>
    <mergeCell ref="A82:A107"/>
    <mergeCell ref="B109:C109"/>
    <mergeCell ref="C87:C88"/>
    <mergeCell ref="C98:C99"/>
    <mergeCell ref="C118:C119"/>
    <mergeCell ref="C89:C90"/>
    <mergeCell ref="C91:C92"/>
    <mergeCell ref="C120:C121"/>
    <mergeCell ref="C100:C101"/>
    <mergeCell ref="C177:C178"/>
    <mergeCell ref="C179:C180"/>
    <mergeCell ref="C181:C182"/>
    <mergeCell ref="B131:B136"/>
    <mergeCell ref="C135:C136"/>
    <mergeCell ref="C185:C186"/>
    <mergeCell ref="Y5:Y6"/>
    <mergeCell ref="E10:I10"/>
    <mergeCell ref="K10:P10"/>
    <mergeCell ref="Q10:V10"/>
    <mergeCell ref="W10:AA10"/>
    <mergeCell ref="D15:D16"/>
    <mergeCell ref="I15:I16"/>
    <mergeCell ref="J15:J16"/>
    <mergeCell ref="AC10:AG10"/>
    <mergeCell ref="E11:J11"/>
    <mergeCell ref="K11:O11"/>
    <mergeCell ref="Q11:U11"/>
    <mergeCell ref="W11:AA11"/>
    <mergeCell ref="AC11:AG11"/>
    <mergeCell ref="V15:V16"/>
    <mergeCell ref="AB15:AB16"/>
    <mergeCell ref="AH15:AH16"/>
    <mergeCell ref="A7:N7"/>
    <mergeCell ref="W15:W16"/>
    <mergeCell ref="X15:X16"/>
    <mergeCell ref="Y15:Y16"/>
    <mergeCell ref="Z15:Z16"/>
    <mergeCell ref="AA15:AA16"/>
    <mergeCell ref="AC15:AC16"/>
    <mergeCell ref="AD15:AD16"/>
    <mergeCell ref="AE15:AE16"/>
    <mergeCell ref="AF15:AF16"/>
    <mergeCell ref="AG15:AG16"/>
    <mergeCell ref="A15:A38"/>
    <mergeCell ref="B33:B38"/>
    <mergeCell ref="C33:C34"/>
    <mergeCell ref="C35:C36"/>
    <mergeCell ref="D17:D18"/>
    <mergeCell ref="I17:I18"/>
    <mergeCell ref="J17:J18"/>
    <mergeCell ref="O17:O18"/>
    <mergeCell ref="P17:P18"/>
    <mergeCell ref="AB17:AB18"/>
    <mergeCell ref="AH17:AH18"/>
    <mergeCell ref="D19:D20"/>
    <mergeCell ref="I19:I20"/>
    <mergeCell ref="J19:J20"/>
    <mergeCell ref="O19:O20"/>
    <mergeCell ref="P19:P20"/>
    <mergeCell ref="V19:V20"/>
    <mergeCell ref="AB19:AB20"/>
    <mergeCell ref="AH19:AH20"/>
    <mergeCell ref="D21:D22"/>
    <mergeCell ref="I21:I22"/>
    <mergeCell ref="J21:J22"/>
    <mergeCell ref="O21:O22"/>
    <mergeCell ref="P21:P22"/>
    <mergeCell ref="V21:V22"/>
    <mergeCell ref="AB21:AB22"/>
    <mergeCell ref="AH21:AH22"/>
    <mergeCell ref="L19:L20"/>
    <mergeCell ref="E17:E18"/>
    <mergeCell ref="F17:F18"/>
    <mergeCell ref="G17:G18"/>
    <mergeCell ref="H17:H18"/>
    <mergeCell ref="K17:K18"/>
    <mergeCell ref="L17:L18"/>
    <mergeCell ref="M17:M18"/>
    <mergeCell ref="N17:N18"/>
    <mergeCell ref="O23:O24"/>
    <mergeCell ref="P23:P24"/>
    <mergeCell ref="V23:V24"/>
    <mergeCell ref="E23:E24"/>
    <mergeCell ref="F23:F24"/>
    <mergeCell ref="G23:G24"/>
    <mergeCell ref="H23:H24"/>
    <mergeCell ref="AH23:AH24"/>
    <mergeCell ref="D25:D26"/>
    <mergeCell ref="I25:I26"/>
    <mergeCell ref="J25:J26"/>
    <mergeCell ref="O25:O26"/>
    <mergeCell ref="P25:P26"/>
    <mergeCell ref="V25:V26"/>
    <mergeCell ref="AB25:AB26"/>
    <mergeCell ref="AH25:AH26"/>
    <mergeCell ref="D23:D24"/>
    <mergeCell ref="K23:K24"/>
    <mergeCell ref="L23:L24"/>
    <mergeCell ref="M23:M24"/>
    <mergeCell ref="N23:N24"/>
    <mergeCell ref="Q23:Q24"/>
    <mergeCell ref="R23:R24"/>
    <mergeCell ref="S23:S24"/>
    <mergeCell ref="T23:T24"/>
    <mergeCell ref="U23:U24"/>
    <mergeCell ref="W23:W24"/>
    <mergeCell ref="X23:X24"/>
    <mergeCell ref="Y23:Y24"/>
    <mergeCell ref="Z23:Z24"/>
    <mergeCell ref="D27:D28"/>
    <mergeCell ref="I27:I28"/>
    <mergeCell ref="J27:J28"/>
    <mergeCell ref="O27:O28"/>
    <mergeCell ref="P27:P28"/>
    <mergeCell ref="V27:V28"/>
    <mergeCell ref="Q27:Q28"/>
    <mergeCell ref="R27:R28"/>
    <mergeCell ref="S27:S28"/>
    <mergeCell ref="T27:T28"/>
    <mergeCell ref="AB27:AB28"/>
    <mergeCell ref="AH27:AH28"/>
    <mergeCell ref="D29:D30"/>
    <mergeCell ref="I29:I30"/>
    <mergeCell ref="J29:J30"/>
    <mergeCell ref="O29:O30"/>
    <mergeCell ref="P29:P30"/>
    <mergeCell ref="V29:V30"/>
    <mergeCell ref="AB29:AB30"/>
    <mergeCell ref="AH29:AH30"/>
    <mergeCell ref="E27:E28"/>
    <mergeCell ref="F27:F28"/>
    <mergeCell ref="G27:G28"/>
    <mergeCell ref="H27:H28"/>
    <mergeCell ref="K27:K28"/>
    <mergeCell ref="L27:L28"/>
    <mergeCell ref="M27:M28"/>
    <mergeCell ref="N27:N28"/>
    <mergeCell ref="U27:U28"/>
    <mergeCell ref="W27:W28"/>
    <mergeCell ref="X27:X28"/>
    <mergeCell ref="Y27:Y28"/>
    <mergeCell ref="O31:O32"/>
    <mergeCell ref="P31:P32"/>
    <mergeCell ref="V31:V32"/>
    <mergeCell ref="E31:E32"/>
    <mergeCell ref="F31:F32"/>
    <mergeCell ref="G31:G32"/>
    <mergeCell ref="H31:H32"/>
    <mergeCell ref="AH31:AH32"/>
    <mergeCell ref="D33:D34"/>
    <mergeCell ref="I33:I34"/>
    <mergeCell ref="J33:J34"/>
    <mergeCell ref="O33:O34"/>
    <mergeCell ref="P33:P34"/>
    <mergeCell ref="V33:V34"/>
    <mergeCell ref="AB33:AB34"/>
    <mergeCell ref="AH33:AH34"/>
    <mergeCell ref="D31:D32"/>
    <mergeCell ref="K31:K32"/>
    <mergeCell ref="L31:L32"/>
    <mergeCell ref="M31:M32"/>
    <mergeCell ref="N31:N32"/>
    <mergeCell ref="Q31:Q32"/>
    <mergeCell ref="R31:R32"/>
    <mergeCell ref="S31:S32"/>
    <mergeCell ref="T31:T32"/>
    <mergeCell ref="U31:U32"/>
    <mergeCell ref="W31:W32"/>
    <mergeCell ref="X31:X32"/>
    <mergeCell ref="Y31:Y32"/>
    <mergeCell ref="Z31:Z32"/>
    <mergeCell ref="I35:I36"/>
    <mergeCell ref="J35:J36"/>
    <mergeCell ref="O35:O36"/>
    <mergeCell ref="P35:P36"/>
    <mergeCell ref="V35:V36"/>
    <mergeCell ref="Q35:Q36"/>
    <mergeCell ref="R35:R36"/>
    <mergeCell ref="S35:S36"/>
    <mergeCell ref="T35:T36"/>
    <mergeCell ref="AH35:AH36"/>
    <mergeCell ref="AB40:AB41"/>
    <mergeCell ref="AH40:AH41"/>
    <mergeCell ref="D37:D38"/>
    <mergeCell ref="J37:J38"/>
    <mergeCell ref="O37:O38"/>
    <mergeCell ref="P37:P38"/>
    <mergeCell ref="V37:V38"/>
    <mergeCell ref="AB37:AB38"/>
    <mergeCell ref="D35:D36"/>
    <mergeCell ref="E35:E36"/>
    <mergeCell ref="F35:F36"/>
    <mergeCell ref="G35:G36"/>
    <mergeCell ref="H35:H36"/>
    <mergeCell ref="K35:K36"/>
    <mergeCell ref="L35:L36"/>
    <mergeCell ref="M35:M36"/>
    <mergeCell ref="N35:N36"/>
    <mergeCell ref="AG35:AG36"/>
    <mergeCell ref="U35:U36"/>
    <mergeCell ref="W35:W36"/>
    <mergeCell ref="X35:X36"/>
    <mergeCell ref="Y35:Y36"/>
    <mergeCell ref="J42:J43"/>
    <mergeCell ref="P42:P43"/>
    <mergeCell ref="V42:V43"/>
    <mergeCell ref="AB42:AB43"/>
    <mergeCell ref="AH37:AH38"/>
    <mergeCell ref="D40:D41"/>
    <mergeCell ref="I40:I41"/>
    <mergeCell ref="J40:J41"/>
    <mergeCell ref="P40:P41"/>
    <mergeCell ref="V40:V41"/>
    <mergeCell ref="AH42:AH43"/>
    <mergeCell ref="D44:D45"/>
    <mergeCell ref="I44:I45"/>
    <mergeCell ref="J44:J45"/>
    <mergeCell ref="P44:P45"/>
    <mergeCell ref="V44:V45"/>
    <mergeCell ref="AB44:AB45"/>
    <mergeCell ref="AH44:AH45"/>
    <mergeCell ref="D42:D43"/>
    <mergeCell ref="I42:I43"/>
    <mergeCell ref="E37:E38"/>
    <mergeCell ref="F37:F38"/>
    <mergeCell ref="G37:G38"/>
    <mergeCell ref="H37:H38"/>
    <mergeCell ref="I37:I38"/>
    <mergeCell ref="Q37:Q38"/>
    <mergeCell ref="R37:R38"/>
    <mergeCell ref="AG37:AG38"/>
    <mergeCell ref="AE37:AE38"/>
    <mergeCell ref="E40:E41"/>
    <mergeCell ref="E42:E43"/>
    <mergeCell ref="E44:E45"/>
    <mergeCell ref="AB48:AB49"/>
    <mergeCell ref="AH48:AH49"/>
    <mergeCell ref="D46:D47"/>
    <mergeCell ref="I46:I47"/>
    <mergeCell ref="J46:J47"/>
    <mergeCell ref="P46:P47"/>
    <mergeCell ref="V46:V47"/>
    <mergeCell ref="AB46:AB47"/>
    <mergeCell ref="K48:K49"/>
    <mergeCell ref="J50:J51"/>
    <mergeCell ref="P50:P51"/>
    <mergeCell ref="V50:V51"/>
    <mergeCell ref="AB50:AB51"/>
    <mergeCell ref="AH46:AH47"/>
    <mergeCell ref="D48:D49"/>
    <mergeCell ref="I48:I49"/>
    <mergeCell ref="J48:J49"/>
    <mergeCell ref="P48:P49"/>
    <mergeCell ref="V48:V49"/>
    <mergeCell ref="AH50:AH51"/>
    <mergeCell ref="E46:E47"/>
    <mergeCell ref="E48:E49"/>
    <mergeCell ref="D52:D53"/>
    <mergeCell ref="I52:I53"/>
    <mergeCell ref="J52:J53"/>
    <mergeCell ref="P52:P53"/>
    <mergeCell ref="V52:V53"/>
    <mergeCell ref="AB52:AB53"/>
    <mergeCell ref="AH52:AH53"/>
    <mergeCell ref="D50:D51"/>
    <mergeCell ref="I50:I51"/>
    <mergeCell ref="AB56:AB57"/>
    <mergeCell ref="AH56:AH57"/>
    <mergeCell ref="D54:D55"/>
    <mergeCell ref="I54:I55"/>
    <mergeCell ref="J54:J55"/>
    <mergeCell ref="P54:P55"/>
    <mergeCell ref="V54:V55"/>
    <mergeCell ref="AB54:AB55"/>
    <mergeCell ref="E54:E55"/>
    <mergeCell ref="E56:E57"/>
    <mergeCell ref="E50:E51"/>
    <mergeCell ref="K50:K51"/>
    <mergeCell ref="K52:K53"/>
    <mergeCell ref="L52:L53"/>
    <mergeCell ref="M52:M53"/>
    <mergeCell ref="N52:N53"/>
    <mergeCell ref="W54:W55"/>
    <mergeCell ref="X54:X55"/>
    <mergeCell ref="Y54:Y55"/>
    <mergeCell ref="Z54:Z55"/>
    <mergeCell ref="W56:W57"/>
    <mergeCell ref="X56:X57"/>
    <mergeCell ref="Y56:Y57"/>
    <mergeCell ref="P59:P60"/>
    <mergeCell ref="V59:V60"/>
    <mergeCell ref="AB59:AB60"/>
    <mergeCell ref="AH54:AH55"/>
    <mergeCell ref="D56:D57"/>
    <mergeCell ref="I56:I57"/>
    <mergeCell ref="J56:J57"/>
    <mergeCell ref="P56:P57"/>
    <mergeCell ref="V56:V57"/>
    <mergeCell ref="AH59:AH60"/>
    <mergeCell ref="D61:D62"/>
    <mergeCell ref="I61:I62"/>
    <mergeCell ref="J61:J62"/>
    <mergeCell ref="P61:P62"/>
    <mergeCell ref="V61:V62"/>
    <mergeCell ref="AB61:AB62"/>
    <mergeCell ref="AH61:AH62"/>
    <mergeCell ref="D59:D60"/>
    <mergeCell ref="I59:I60"/>
    <mergeCell ref="K54:K55"/>
    <mergeCell ref="K56:K57"/>
    <mergeCell ref="T54:T55"/>
    <mergeCell ref="R56:R57"/>
    <mergeCell ref="S56:S57"/>
    <mergeCell ref="T56:T57"/>
    <mergeCell ref="L54:L55"/>
    <mergeCell ref="M54:M55"/>
    <mergeCell ref="N54:N55"/>
    <mergeCell ref="L56:L57"/>
    <mergeCell ref="M56:M57"/>
    <mergeCell ref="N56:N57"/>
    <mergeCell ref="D63:D64"/>
    <mergeCell ref="J63:J64"/>
    <mergeCell ref="P63:P64"/>
    <mergeCell ref="V63:V64"/>
    <mergeCell ref="AB63:AB64"/>
    <mergeCell ref="AH63:AH64"/>
    <mergeCell ref="K63:K64"/>
    <mergeCell ref="L63:L64"/>
    <mergeCell ref="M63:M64"/>
    <mergeCell ref="N63:N64"/>
    <mergeCell ref="D65:D66"/>
    <mergeCell ref="J65:J66"/>
    <mergeCell ref="P65:P66"/>
    <mergeCell ref="V65:V66"/>
    <mergeCell ref="AB65:AB66"/>
    <mergeCell ref="AH65:AH66"/>
    <mergeCell ref="E65:E66"/>
    <mergeCell ref="F65:F66"/>
    <mergeCell ref="G65:G66"/>
    <mergeCell ref="H65:H66"/>
    <mergeCell ref="K65:K66"/>
    <mergeCell ref="L65:L66"/>
    <mergeCell ref="M65:M66"/>
    <mergeCell ref="N65:N66"/>
    <mergeCell ref="D67:D68"/>
    <mergeCell ref="J67:J68"/>
    <mergeCell ref="P67:P68"/>
    <mergeCell ref="V67:V68"/>
    <mergeCell ref="AB67:AB68"/>
    <mergeCell ref="AH67:AH68"/>
    <mergeCell ref="E67:E68"/>
    <mergeCell ref="F67:F68"/>
    <mergeCell ref="G67:G68"/>
    <mergeCell ref="H67:H68"/>
    <mergeCell ref="D69:D70"/>
    <mergeCell ref="J69:J70"/>
    <mergeCell ref="P69:P70"/>
    <mergeCell ref="V69:V70"/>
    <mergeCell ref="AB69:AB70"/>
    <mergeCell ref="AH69:AH70"/>
    <mergeCell ref="E69:E70"/>
    <mergeCell ref="F69:F70"/>
    <mergeCell ref="G69:G70"/>
    <mergeCell ref="H69:H70"/>
    <mergeCell ref="K67:K68"/>
    <mergeCell ref="L67:L68"/>
    <mergeCell ref="M67:M68"/>
    <mergeCell ref="N67:N68"/>
    <mergeCell ref="K69:K70"/>
    <mergeCell ref="L69:L70"/>
    <mergeCell ref="M69:M70"/>
    <mergeCell ref="N69:N70"/>
    <mergeCell ref="Q69:Q70"/>
    <mergeCell ref="R69:R70"/>
    <mergeCell ref="S69:S70"/>
    <mergeCell ref="T69:T70"/>
    <mergeCell ref="D71:D72"/>
    <mergeCell ref="J71:J72"/>
    <mergeCell ref="P71:P72"/>
    <mergeCell ref="V71:V72"/>
    <mergeCell ref="AB71:AB72"/>
    <mergeCell ref="AH71:AH72"/>
    <mergeCell ref="E71:E72"/>
    <mergeCell ref="F71:F72"/>
    <mergeCell ref="G71:G72"/>
    <mergeCell ref="H71:H72"/>
    <mergeCell ref="D74:D75"/>
    <mergeCell ref="J74:J75"/>
    <mergeCell ref="P74:P75"/>
    <mergeCell ref="V74:V75"/>
    <mergeCell ref="AB74:AB75"/>
    <mergeCell ref="AH74:AH75"/>
    <mergeCell ref="W74:W75"/>
    <mergeCell ref="X74:X75"/>
    <mergeCell ref="Y74:Y75"/>
    <mergeCell ref="Z74:Z75"/>
    <mergeCell ref="K71:K72"/>
    <mergeCell ref="L71:L72"/>
    <mergeCell ref="M71:M72"/>
    <mergeCell ref="N71:N72"/>
    <mergeCell ref="Q71:Q72"/>
    <mergeCell ref="R71:R72"/>
    <mergeCell ref="S71:S72"/>
    <mergeCell ref="T71:T72"/>
    <mergeCell ref="AC71:AC72"/>
    <mergeCell ref="AD71:AD72"/>
    <mergeCell ref="AE71:AE72"/>
    <mergeCell ref="AF71:AF72"/>
    <mergeCell ref="P78:P79"/>
    <mergeCell ref="V78:V79"/>
    <mergeCell ref="AB78:AB79"/>
    <mergeCell ref="AH78:AH79"/>
    <mergeCell ref="J83:J84"/>
    <mergeCell ref="P83:P84"/>
    <mergeCell ref="V83:V84"/>
    <mergeCell ref="AB83:AB84"/>
    <mergeCell ref="AH83:AH84"/>
    <mergeCell ref="B80:AH80"/>
    <mergeCell ref="J85:J86"/>
    <mergeCell ref="P85:P86"/>
    <mergeCell ref="V85:V86"/>
    <mergeCell ref="AB85:AB86"/>
    <mergeCell ref="AH85:AH86"/>
    <mergeCell ref="J87:J88"/>
    <mergeCell ref="P87:P88"/>
    <mergeCell ref="V87:V88"/>
    <mergeCell ref="AB87:AB88"/>
    <mergeCell ref="AH87:AH88"/>
    <mergeCell ref="D78:D79"/>
    <mergeCell ref="D83:D84"/>
    <mergeCell ref="D85:D86"/>
    <mergeCell ref="D87:D88"/>
    <mergeCell ref="E83:E84"/>
    <mergeCell ref="F83:F84"/>
    <mergeCell ref="G83:G84"/>
    <mergeCell ref="H83:H84"/>
    <mergeCell ref="E85:E86"/>
    <mergeCell ref="F85:F86"/>
    <mergeCell ref="G85:G86"/>
    <mergeCell ref="H85:H86"/>
    <mergeCell ref="P89:P90"/>
    <mergeCell ref="V89:V90"/>
    <mergeCell ref="AB89:AB90"/>
    <mergeCell ref="AH89:AH90"/>
    <mergeCell ref="J91:J92"/>
    <mergeCell ref="P91:P92"/>
    <mergeCell ref="V91:V92"/>
    <mergeCell ref="AB91:AB92"/>
    <mergeCell ref="AH91:AH92"/>
    <mergeCell ref="AH98:AH99"/>
    <mergeCell ref="J93:J94"/>
    <mergeCell ref="P93:P94"/>
    <mergeCell ref="V93:V94"/>
    <mergeCell ref="AB93:AB94"/>
    <mergeCell ref="AH93:AH94"/>
    <mergeCell ref="J96:J97"/>
    <mergeCell ref="P96:P97"/>
    <mergeCell ref="V96:V97"/>
    <mergeCell ref="AB96:AB97"/>
    <mergeCell ref="L93:L94"/>
    <mergeCell ref="M93:M94"/>
    <mergeCell ref="N93:N94"/>
    <mergeCell ref="Q93:Q94"/>
    <mergeCell ref="R93:R94"/>
    <mergeCell ref="S93:S94"/>
    <mergeCell ref="T93:T94"/>
    <mergeCell ref="W93:W94"/>
    <mergeCell ref="X93:X94"/>
    <mergeCell ref="Y93:Y94"/>
    <mergeCell ref="Z93:Z94"/>
    <mergeCell ref="AC93:AC94"/>
    <mergeCell ref="J100:J101"/>
    <mergeCell ref="P100:P101"/>
    <mergeCell ref="V100:V101"/>
    <mergeCell ref="AB100:AB101"/>
    <mergeCell ref="AH100:AH101"/>
    <mergeCell ref="AH96:AH97"/>
    <mergeCell ref="J98:J99"/>
    <mergeCell ref="P98:P99"/>
    <mergeCell ref="V98:V99"/>
    <mergeCell ref="AB98:AB99"/>
    <mergeCell ref="J102:J103"/>
    <mergeCell ref="P102:P103"/>
    <mergeCell ref="V102:V103"/>
    <mergeCell ref="AB102:AB103"/>
    <mergeCell ref="AH102:AH103"/>
    <mergeCell ref="J104:J105"/>
    <mergeCell ref="P104:P105"/>
    <mergeCell ref="V104:V105"/>
    <mergeCell ref="AB104:AB105"/>
    <mergeCell ref="AH104:AH105"/>
    <mergeCell ref="R102:R103"/>
    <mergeCell ref="S102:S103"/>
    <mergeCell ref="T102:T103"/>
    <mergeCell ref="Q104:Q105"/>
    <mergeCell ref="R104:R105"/>
    <mergeCell ref="S104:S105"/>
    <mergeCell ref="T104:T105"/>
    <mergeCell ref="W96:W97"/>
    <mergeCell ref="X96:X97"/>
    <mergeCell ref="Y96:Y97"/>
    <mergeCell ref="Z96:Z97"/>
    <mergeCell ref="W98:W99"/>
    <mergeCell ref="J106:J107"/>
    <mergeCell ref="P106:P107"/>
    <mergeCell ref="V106:V107"/>
    <mergeCell ref="AB106:AB107"/>
    <mergeCell ref="AH106:AH107"/>
    <mergeCell ref="J110:J111"/>
    <mergeCell ref="P110:P111"/>
    <mergeCell ref="V110:V111"/>
    <mergeCell ref="AB110:AB111"/>
    <mergeCell ref="AH110:AH111"/>
    <mergeCell ref="J112:J113"/>
    <mergeCell ref="P112:P113"/>
    <mergeCell ref="V112:V113"/>
    <mergeCell ref="AB112:AB113"/>
    <mergeCell ref="AH112:AH113"/>
    <mergeCell ref="J114:J115"/>
    <mergeCell ref="P114:P115"/>
    <mergeCell ref="V114:V115"/>
    <mergeCell ref="AB114:AB115"/>
    <mergeCell ref="AH114:AH115"/>
    <mergeCell ref="Q106:Q107"/>
    <mergeCell ref="R106:R107"/>
    <mergeCell ref="S106:S107"/>
    <mergeCell ref="T106:T107"/>
    <mergeCell ref="AC106:AC107"/>
    <mergeCell ref="AD106:AD107"/>
    <mergeCell ref="AE106:AE107"/>
    <mergeCell ref="AF106:AF107"/>
    <mergeCell ref="Q110:Q111"/>
    <mergeCell ref="R110:R111"/>
    <mergeCell ref="Q114:Q115"/>
    <mergeCell ref="R114:R115"/>
    <mergeCell ref="J116:J117"/>
    <mergeCell ref="P116:P117"/>
    <mergeCell ref="V116:V117"/>
    <mergeCell ref="AB116:AB117"/>
    <mergeCell ref="AH116:AH117"/>
    <mergeCell ref="J118:J119"/>
    <mergeCell ref="P118:P119"/>
    <mergeCell ref="V118:V119"/>
    <mergeCell ref="AB118:AB119"/>
    <mergeCell ref="AH118:AH119"/>
    <mergeCell ref="J120:J121"/>
    <mergeCell ref="P120:P121"/>
    <mergeCell ref="V120:V121"/>
    <mergeCell ref="AB120:AB121"/>
    <mergeCell ref="AH120:AH121"/>
    <mergeCell ref="J122:J123"/>
    <mergeCell ref="P122:P123"/>
    <mergeCell ref="V122:V123"/>
    <mergeCell ref="AB122:AB123"/>
    <mergeCell ref="AH122:AH123"/>
    <mergeCell ref="Q118:Q119"/>
    <mergeCell ref="R118:R119"/>
    <mergeCell ref="Q122:Q123"/>
    <mergeCell ref="R122:R123"/>
    <mergeCell ref="S122:S123"/>
    <mergeCell ref="T122:T123"/>
    <mergeCell ref="W120:W121"/>
    <mergeCell ref="X120:X121"/>
    <mergeCell ref="Y120:Y121"/>
    <mergeCell ref="Z120:Z121"/>
    <mergeCell ref="W122:W123"/>
    <mergeCell ref="X122:X123"/>
    <mergeCell ref="P127:P128"/>
    <mergeCell ref="V127:V128"/>
    <mergeCell ref="AB127:AB128"/>
    <mergeCell ref="AH127:AH128"/>
    <mergeCell ref="J129:J130"/>
    <mergeCell ref="P129:P130"/>
    <mergeCell ref="V129:V130"/>
    <mergeCell ref="AB129:AB130"/>
    <mergeCell ref="AH129:AH130"/>
    <mergeCell ref="J131:J132"/>
    <mergeCell ref="P131:P132"/>
    <mergeCell ref="V131:V132"/>
    <mergeCell ref="AB131:AB132"/>
    <mergeCell ref="AH131:AH132"/>
    <mergeCell ref="J133:J134"/>
    <mergeCell ref="P133:P134"/>
    <mergeCell ref="V133:V134"/>
    <mergeCell ref="AB133:AB134"/>
    <mergeCell ref="AH133:AH134"/>
    <mergeCell ref="Q127:Q128"/>
    <mergeCell ref="R127:R128"/>
    <mergeCell ref="Q131:Q132"/>
    <mergeCell ref="R131:R132"/>
    <mergeCell ref="S127:S128"/>
    <mergeCell ref="T127:T128"/>
    <mergeCell ref="Q129:Q130"/>
    <mergeCell ref="R129:R130"/>
    <mergeCell ref="S129:S130"/>
    <mergeCell ref="T129:T130"/>
    <mergeCell ref="S131:S132"/>
    <mergeCell ref="T131:T132"/>
    <mergeCell ref="J135:J136"/>
    <mergeCell ref="P135:P136"/>
    <mergeCell ref="V135:V136"/>
    <mergeCell ref="AB135:AB136"/>
    <mergeCell ref="AH135:AH136"/>
    <mergeCell ref="J137:J138"/>
    <mergeCell ref="P137:P138"/>
    <mergeCell ref="V137:V138"/>
    <mergeCell ref="AB137:AB138"/>
    <mergeCell ref="AH137:AH138"/>
    <mergeCell ref="J139:J140"/>
    <mergeCell ref="P139:P140"/>
    <mergeCell ref="V139:V140"/>
    <mergeCell ref="AB139:AB140"/>
    <mergeCell ref="AH139:AH140"/>
    <mergeCell ref="J141:J142"/>
    <mergeCell ref="P141:P142"/>
    <mergeCell ref="V141:V142"/>
    <mergeCell ref="AB141:AB142"/>
    <mergeCell ref="AH141:AH142"/>
    <mergeCell ref="M139:M140"/>
    <mergeCell ref="N139:N140"/>
    <mergeCell ref="K141:K142"/>
    <mergeCell ref="L141:L142"/>
    <mergeCell ref="M141:M142"/>
    <mergeCell ref="N141:N142"/>
    <mergeCell ref="Q135:Q136"/>
    <mergeCell ref="R135:R136"/>
    <mergeCell ref="Y139:Y140"/>
    <mergeCell ref="Z139:Z140"/>
    <mergeCell ref="Y141:Y142"/>
    <mergeCell ref="Z141:Z142"/>
    <mergeCell ref="J146:J147"/>
    <mergeCell ref="P146:P147"/>
    <mergeCell ref="V146:V147"/>
    <mergeCell ref="AB146:AB147"/>
    <mergeCell ref="AH146:AH147"/>
    <mergeCell ref="J148:J149"/>
    <mergeCell ref="P148:P149"/>
    <mergeCell ref="V148:V149"/>
    <mergeCell ref="AB148:AB149"/>
    <mergeCell ref="AH148:AH149"/>
    <mergeCell ref="J150:J151"/>
    <mergeCell ref="P150:P151"/>
    <mergeCell ref="V150:V151"/>
    <mergeCell ref="AB150:AB151"/>
    <mergeCell ref="AH150:AH151"/>
    <mergeCell ref="J153:J154"/>
    <mergeCell ref="P153:P154"/>
    <mergeCell ref="V153:V154"/>
    <mergeCell ref="AB153:AB154"/>
    <mergeCell ref="AH153:AH154"/>
    <mergeCell ref="K146:K147"/>
    <mergeCell ref="L146:L147"/>
    <mergeCell ref="M146:M147"/>
    <mergeCell ref="N146:N147"/>
    <mergeCell ref="K148:K149"/>
    <mergeCell ref="L148:L149"/>
    <mergeCell ref="M148:M149"/>
    <mergeCell ref="N148:N149"/>
    <mergeCell ref="K150:K151"/>
    <mergeCell ref="L150:L151"/>
    <mergeCell ref="M150:M151"/>
    <mergeCell ref="N150:N151"/>
    <mergeCell ref="P155:P156"/>
    <mergeCell ref="V155:V156"/>
    <mergeCell ref="AB155:AB156"/>
    <mergeCell ref="AH155:AH156"/>
    <mergeCell ref="J157:J158"/>
    <mergeCell ref="P157:P158"/>
    <mergeCell ref="V157:V158"/>
    <mergeCell ref="AB157:AB158"/>
    <mergeCell ref="AH157:AH158"/>
    <mergeCell ref="J159:J160"/>
    <mergeCell ref="P159:P160"/>
    <mergeCell ref="V159:V160"/>
    <mergeCell ref="AB159:AB160"/>
    <mergeCell ref="AH159:AH160"/>
    <mergeCell ref="J161:J162"/>
    <mergeCell ref="P161:P162"/>
    <mergeCell ref="V161:V162"/>
    <mergeCell ref="AB161:AB162"/>
    <mergeCell ref="AH161:AH162"/>
    <mergeCell ref="J163:J164"/>
    <mergeCell ref="P163:P164"/>
    <mergeCell ref="V163:V164"/>
    <mergeCell ref="AB163:AB164"/>
    <mergeCell ref="AH163:AH164"/>
    <mergeCell ref="J165:J166"/>
    <mergeCell ref="P165:P166"/>
    <mergeCell ref="V165:V166"/>
    <mergeCell ref="AB165:AB166"/>
    <mergeCell ref="AH165:AH166"/>
    <mergeCell ref="J167:J168"/>
    <mergeCell ref="P167:P168"/>
    <mergeCell ref="V167:V168"/>
    <mergeCell ref="AB167:AB168"/>
    <mergeCell ref="AH167:AH168"/>
    <mergeCell ref="J169:J170"/>
    <mergeCell ref="P169:P170"/>
    <mergeCell ref="V169:V170"/>
    <mergeCell ref="AB169:AB170"/>
    <mergeCell ref="AH169:AH170"/>
    <mergeCell ref="L167:L168"/>
    <mergeCell ref="M167:M168"/>
    <mergeCell ref="N167:N168"/>
    <mergeCell ref="L169:L170"/>
    <mergeCell ref="M169:M170"/>
    <mergeCell ref="N169:N170"/>
    <mergeCell ref="Q167:Q168"/>
    <mergeCell ref="R167:R168"/>
    <mergeCell ref="S167:S168"/>
    <mergeCell ref="T167:T168"/>
    <mergeCell ref="Q169:Q170"/>
    <mergeCell ref="R169:R170"/>
    <mergeCell ref="J171:J172"/>
    <mergeCell ref="P171:P172"/>
    <mergeCell ref="V171:V172"/>
    <mergeCell ref="AB171:AB172"/>
    <mergeCell ref="AH171:AH172"/>
    <mergeCell ref="J173:J174"/>
    <mergeCell ref="P173:P174"/>
    <mergeCell ref="V173:V174"/>
    <mergeCell ref="AB173:AB174"/>
    <mergeCell ref="AH173:AH174"/>
    <mergeCell ref="J175:J176"/>
    <mergeCell ref="P175:P176"/>
    <mergeCell ref="V175:V176"/>
    <mergeCell ref="AB175:AB176"/>
    <mergeCell ref="AH175:AH176"/>
    <mergeCell ref="J177:J178"/>
    <mergeCell ref="P177:P178"/>
    <mergeCell ref="V177:V178"/>
    <mergeCell ref="AB177:AB178"/>
    <mergeCell ref="AH177:AH178"/>
    <mergeCell ref="L171:L172"/>
    <mergeCell ref="M171:M172"/>
    <mergeCell ref="N171:N172"/>
    <mergeCell ref="L173:L174"/>
    <mergeCell ref="M173:M174"/>
    <mergeCell ref="N173:N174"/>
    <mergeCell ref="L175:L176"/>
    <mergeCell ref="M175:M176"/>
    <mergeCell ref="N175:N176"/>
    <mergeCell ref="L177:L178"/>
    <mergeCell ref="M177:M178"/>
    <mergeCell ref="N177:N178"/>
    <mergeCell ref="J179:J180"/>
    <mergeCell ref="P179:P180"/>
    <mergeCell ref="V179:V180"/>
    <mergeCell ref="AB179:AB180"/>
    <mergeCell ref="AH179:AH180"/>
    <mergeCell ref="J181:J182"/>
    <mergeCell ref="P181:P182"/>
    <mergeCell ref="V181:V182"/>
    <mergeCell ref="AB181:AB182"/>
    <mergeCell ref="AH181:AH182"/>
    <mergeCell ref="J183:J184"/>
    <mergeCell ref="P183:P184"/>
    <mergeCell ref="V183:V184"/>
    <mergeCell ref="AB183:AB184"/>
    <mergeCell ref="AH183:AH184"/>
    <mergeCell ref="J185:J186"/>
    <mergeCell ref="P185:P186"/>
    <mergeCell ref="V185:V186"/>
    <mergeCell ref="AB185:AB186"/>
    <mergeCell ref="AH185:AH186"/>
    <mergeCell ref="K185:K186"/>
    <mergeCell ref="L179:L180"/>
    <mergeCell ref="M179:M180"/>
    <mergeCell ref="N179:N180"/>
    <mergeCell ref="L181:L182"/>
    <mergeCell ref="M181:M182"/>
    <mergeCell ref="N181:N182"/>
    <mergeCell ref="L183:L184"/>
    <mergeCell ref="M183:M184"/>
    <mergeCell ref="N183:N184"/>
    <mergeCell ref="L185:L186"/>
    <mergeCell ref="M185:M186"/>
    <mergeCell ref="J187:J188"/>
    <mergeCell ref="P187:P188"/>
    <mergeCell ref="V187:V188"/>
    <mergeCell ref="AB187:AB188"/>
    <mergeCell ref="AH187:AH188"/>
    <mergeCell ref="J190:J191"/>
    <mergeCell ref="P190:P191"/>
    <mergeCell ref="V190:V191"/>
    <mergeCell ref="AB190:AB191"/>
    <mergeCell ref="AH190:AH191"/>
    <mergeCell ref="J192:J193"/>
    <mergeCell ref="P192:P193"/>
    <mergeCell ref="V192:V193"/>
    <mergeCell ref="AB192:AB193"/>
    <mergeCell ref="AH192:AH193"/>
    <mergeCell ref="D196:D197"/>
    <mergeCell ref="J196:J197"/>
    <mergeCell ref="P196:P197"/>
    <mergeCell ref="V196:V197"/>
    <mergeCell ref="AB196:AB197"/>
    <mergeCell ref="AH196:AH197"/>
    <mergeCell ref="K187:K188"/>
    <mergeCell ref="Q192:Q193"/>
    <mergeCell ref="R192:R193"/>
    <mergeCell ref="S192:S193"/>
    <mergeCell ref="T192:T193"/>
    <mergeCell ref="W190:W191"/>
    <mergeCell ref="X190:X191"/>
    <mergeCell ref="Y190:Y191"/>
    <mergeCell ref="Z190:Z191"/>
    <mergeCell ref="W192:W193"/>
    <mergeCell ref="X192:X193"/>
    <mergeCell ref="J198:J199"/>
    <mergeCell ref="P198:P199"/>
    <mergeCell ref="V198:V199"/>
    <mergeCell ref="AB198:AB199"/>
    <mergeCell ref="AH198:AH199"/>
    <mergeCell ref="M196:M197"/>
    <mergeCell ref="N196:N197"/>
    <mergeCell ref="M198:M199"/>
    <mergeCell ref="N198:N199"/>
    <mergeCell ref="J200:J201"/>
    <mergeCell ref="P200:P201"/>
    <mergeCell ref="V200:V201"/>
    <mergeCell ref="AB200:AB201"/>
    <mergeCell ref="AH200:AH201"/>
    <mergeCell ref="D202:D203"/>
    <mergeCell ref="J202:J203"/>
    <mergeCell ref="P202:P203"/>
    <mergeCell ref="V202:V203"/>
    <mergeCell ref="AB202:AB203"/>
    <mergeCell ref="E200:E201"/>
    <mergeCell ref="F200:F201"/>
    <mergeCell ref="G200:G201"/>
    <mergeCell ref="H200:H201"/>
    <mergeCell ref="K200:K201"/>
    <mergeCell ref="L200:L201"/>
    <mergeCell ref="M200:M201"/>
    <mergeCell ref="N200:N201"/>
    <mergeCell ref="R200:R201"/>
    <mergeCell ref="S200:S201"/>
    <mergeCell ref="T200:T201"/>
    <mergeCell ref="R202:R203"/>
    <mergeCell ref="S202:S203"/>
    <mergeCell ref="J204:J205"/>
    <mergeCell ref="P204:P205"/>
    <mergeCell ref="V204:V205"/>
    <mergeCell ref="AB204:AB205"/>
    <mergeCell ref="AH204:AH205"/>
    <mergeCell ref="E204:E205"/>
    <mergeCell ref="F204:F205"/>
    <mergeCell ref="G204:G205"/>
    <mergeCell ref="H204:H205"/>
    <mergeCell ref="J206:J207"/>
    <mergeCell ref="P206:P207"/>
    <mergeCell ref="V206:V207"/>
    <mergeCell ref="AB206:AB207"/>
    <mergeCell ref="AH206:AH207"/>
    <mergeCell ref="AH202:AH203"/>
    <mergeCell ref="K204:K205"/>
    <mergeCell ref="L204:L205"/>
    <mergeCell ref="M204:M205"/>
    <mergeCell ref="N204:N205"/>
    <mergeCell ref="E202:E203"/>
    <mergeCell ref="F202:F203"/>
    <mergeCell ref="G202:G203"/>
    <mergeCell ref="H202:H203"/>
    <mergeCell ref="E206:E207"/>
    <mergeCell ref="F206:F207"/>
    <mergeCell ref="G206:G207"/>
    <mergeCell ref="H206:H207"/>
    <mergeCell ref="K202:K203"/>
    <mergeCell ref="L202:L203"/>
    <mergeCell ref="M202:M203"/>
    <mergeCell ref="N202:N203"/>
    <mergeCell ref="J210:J211"/>
    <mergeCell ref="P210:P211"/>
    <mergeCell ref="V210:V211"/>
    <mergeCell ref="AB210:AB211"/>
    <mergeCell ref="AH210:AH211"/>
    <mergeCell ref="J208:J209"/>
    <mergeCell ref="P208:P209"/>
    <mergeCell ref="V208:V209"/>
    <mergeCell ref="AB208:AB209"/>
    <mergeCell ref="AH208:AH209"/>
    <mergeCell ref="AH215:AH216"/>
    <mergeCell ref="D213:D214"/>
    <mergeCell ref="J213:J214"/>
    <mergeCell ref="P213:P214"/>
    <mergeCell ref="V213:V214"/>
    <mergeCell ref="AB213:AB214"/>
    <mergeCell ref="AH213:AH214"/>
    <mergeCell ref="E213:E214"/>
    <mergeCell ref="F213:F214"/>
    <mergeCell ref="G213:G214"/>
    <mergeCell ref="E208:E209"/>
    <mergeCell ref="F208:F209"/>
    <mergeCell ref="G208:G209"/>
    <mergeCell ref="H208:H209"/>
    <mergeCell ref="E210:E211"/>
    <mergeCell ref="F210:F211"/>
    <mergeCell ref="G210:G211"/>
    <mergeCell ref="H210:H211"/>
    <mergeCell ref="L213:L214"/>
    <mergeCell ref="S213:S214"/>
    <mergeCell ref="T213:T214"/>
    <mergeCell ref="W213:W214"/>
    <mergeCell ref="G222:H222"/>
    <mergeCell ref="M222:N222"/>
    <mergeCell ref="S222:T222"/>
    <mergeCell ref="Y222:Z222"/>
    <mergeCell ref="AE222:AF222"/>
    <mergeCell ref="D215:D216"/>
    <mergeCell ref="J215:J216"/>
    <mergeCell ref="P215:P216"/>
    <mergeCell ref="V215:V216"/>
    <mergeCell ref="AB215:AB216"/>
    <mergeCell ref="J239:J240"/>
    <mergeCell ref="P239:P240"/>
    <mergeCell ref="V239:V240"/>
    <mergeCell ref="AB239:AB240"/>
    <mergeCell ref="AH239:AH240"/>
    <mergeCell ref="J217:J218"/>
    <mergeCell ref="P217:P218"/>
    <mergeCell ref="V217:V218"/>
    <mergeCell ref="AB217:AB218"/>
    <mergeCell ref="AH217:AH218"/>
    <mergeCell ref="Q215:Q216"/>
    <mergeCell ref="R215:R216"/>
    <mergeCell ref="S215:S216"/>
    <mergeCell ref="T215:T216"/>
    <mergeCell ref="S217:S218"/>
    <mergeCell ref="T217:T218"/>
    <mergeCell ref="E237:E238"/>
    <mergeCell ref="F237:F238"/>
    <mergeCell ref="G237:G238"/>
    <mergeCell ref="H237:H238"/>
    <mergeCell ref="E239:E240"/>
    <mergeCell ref="F239:F240"/>
    <mergeCell ref="J243:J244"/>
    <mergeCell ref="P243:P244"/>
    <mergeCell ref="V243:V244"/>
    <mergeCell ref="AB243:AB244"/>
    <mergeCell ref="AH243:AH244"/>
    <mergeCell ref="J237:J238"/>
    <mergeCell ref="P237:P238"/>
    <mergeCell ref="V237:V238"/>
    <mergeCell ref="AB237:AB238"/>
    <mergeCell ref="AH237:AH238"/>
    <mergeCell ref="J247:J248"/>
    <mergeCell ref="P247:P248"/>
    <mergeCell ref="V247:V248"/>
    <mergeCell ref="AB247:AB248"/>
    <mergeCell ref="AH247:AH248"/>
    <mergeCell ref="J241:J242"/>
    <mergeCell ref="P241:P242"/>
    <mergeCell ref="V241:V242"/>
    <mergeCell ref="AB241:AB242"/>
    <mergeCell ref="AH241:AH242"/>
    <mergeCell ref="K237:K238"/>
    <mergeCell ref="N237:N238"/>
    <mergeCell ref="S237:S238"/>
    <mergeCell ref="X237:X238"/>
    <mergeCell ref="L237:L238"/>
    <mergeCell ref="L239:L240"/>
    <mergeCell ref="L241:L242"/>
    <mergeCell ref="L243:L244"/>
    <mergeCell ref="M237:M238"/>
    <mergeCell ref="M239:M240"/>
    <mergeCell ref="M241:M242"/>
    <mergeCell ref="M243:M244"/>
    <mergeCell ref="J251:J252"/>
    <mergeCell ref="P251:P252"/>
    <mergeCell ref="V251:V252"/>
    <mergeCell ref="AB251:AB252"/>
    <mergeCell ref="AH251:AH252"/>
    <mergeCell ref="J245:J246"/>
    <mergeCell ref="P245:P246"/>
    <mergeCell ref="V245:V246"/>
    <mergeCell ref="AB245:AB246"/>
    <mergeCell ref="AH245:AH246"/>
    <mergeCell ref="J253:J254"/>
    <mergeCell ref="P253:P254"/>
    <mergeCell ref="V253:V254"/>
    <mergeCell ref="AB253:AB254"/>
    <mergeCell ref="AH253:AH254"/>
    <mergeCell ref="J249:J250"/>
    <mergeCell ref="P249:P250"/>
    <mergeCell ref="V249:V250"/>
    <mergeCell ref="AB249:AB250"/>
    <mergeCell ref="AH249:AH250"/>
    <mergeCell ref="L245:L246"/>
    <mergeCell ref="L247:L248"/>
    <mergeCell ref="L249:L250"/>
    <mergeCell ref="L251:L252"/>
    <mergeCell ref="L253:L254"/>
    <mergeCell ref="M245:M246"/>
    <mergeCell ref="M247:M248"/>
    <mergeCell ref="M249:M250"/>
    <mergeCell ref="M251:M252"/>
    <mergeCell ref="M253:M254"/>
    <mergeCell ref="D89:D90"/>
    <mergeCell ref="D91:D92"/>
    <mergeCell ref="D93:D94"/>
    <mergeCell ref="D102:D103"/>
    <mergeCell ref="D104:D105"/>
    <mergeCell ref="D106:D107"/>
    <mergeCell ref="D110:D111"/>
    <mergeCell ref="D112:D113"/>
    <mergeCell ref="D100:D101"/>
    <mergeCell ref="D98:D99"/>
    <mergeCell ref="D96:D97"/>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243:D244"/>
    <mergeCell ref="D245:D246"/>
    <mergeCell ref="D179:D180"/>
    <mergeCell ref="D181:D182"/>
    <mergeCell ref="D183:D184"/>
    <mergeCell ref="D185:D186"/>
    <mergeCell ref="D187:D188"/>
    <mergeCell ref="D190:D191"/>
    <mergeCell ref="D210:D211"/>
    <mergeCell ref="D206:D207"/>
    <mergeCell ref="D198:D199"/>
    <mergeCell ref="D204:D205"/>
    <mergeCell ref="D247:D248"/>
    <mergeCell ref="D249:D250"/>
    <mergeCell ref="D251:D252"/>
    <mergeCell ref="D253:D254"/>
    <mergeCell ref="D192:D193"/>
    <mergeCell ref="D237:D238"/>
    <mergeCell ref="D239:D240"/>
    <mergeCell ref="D241:D242"/>
    <mergeCell ref="A8:AB8"/>
    <mergeCell ref="A3:P3"/>
    <mergeCell ref="B225:AH225"/>
    <mergeCell ref="B14:AH14"/>
    <mergeCell ref="A5:B5"/>
    <mergeCell ref="A6:B6"/>
    <mergeCell ref="D208:D209"/>
    <mergeCell ref="B195:AH195"/>
    <mergeCell ref="B194:AH194"/>
    <mergeCell ref="E15:E16"/>
    <mergeCell ref="F15:F16"/>
    <mergeCell ref="G15:G16"/>
    <mergeCell ref="H15:H16"/>
    <mergeCell ref="K15:K16"/>
    <mergeCell ref="L15:L16"/>
    <mergeCell ref="M15:M16"/>
    <mergeCell ref="N15:N16"/>
    <mergeCell ref="Q15:Q16"/>
    <mergeCell ref="R15:R16"/>
    <mergeCell ref="S15:S16"/>
    <mergeCell ref="T15:T16"/>
    <mergeCell ref="U15:U16"/>
    <mergeCell ref="O15:O16"/>
    <mergeCell ref="P15:P16"/>
    <mergeCell ref="Q17:Q18"/>
    <mergeCell ref="R17:R18"/>
    <mergeCell ref="S17:S18"/>
    <mergeCell ref="T17:T18"/>
    <mergeCell ref="U17:U18"/>
    <mergeCell ref="W17:W18"/>
    <mergeCell ref="X17:X18"/>
    <mergeCell ref="Y17:Y18"/>
    <mergeCell ref="Z17:Z18"/>
    <mergeCell ref="AA17:AA18"/>
    <mergeCell ref="V17:V18"/>
    <mergeCell ref="AC17:AC18"/>
    <mergeCell ref="AD17:AD18"/>
    <mergeCell ref="AE17:AE18"/>
    <mergeCell ref="AF17:AF18"/>
    <mergeCell ref="AG17:AG18"/>
    <mergeCell ref="E19:E20"/>
    <mergeCell ref="F19:F20"/>
    <mergeCell ref="G19:G20"/>
    <mergeCell ref="H19:H20"/>
    <mergeCell ref="K19:K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AA23:AA24"/>
    <mergeCell ref="AC23:AC24"/>
    <mergeCell ref="AD23:AD24"/>
    <mergeCell ref="AE23:AE24"/>
    <mergeCell ref="AF23:AF24"/>
    <mergeCell ref="AB23:AB24"/>
    <mergeCell ref="AG23:AG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I23:I24"/>
    <mergeCell ref="J23:J24"/>
    <mergeCell ref="Z27:Z28"/>
    <mergeCell ref="AA27:AA28"/>
    <mergeCell ref="AC27:AC28"/>
    <mergeCell ref="AD27:AD28"/>
    <mergeCell ref="AE27:AE28"/>
    <mergeCell ref="AF27:AF28"/>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AA31:AA32"/>
    <mergeCell ref="AC31:AC32"/>
    <mergeCell ref="AD31:AD32"/>
    <mergeCell ref="AE31:AE32"/>
    <mergeCell ref="AF31:AF32"/>
    <mergeCell ref="AB31:AB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I31:I32"/>
    <mergeCell ref="J31:J32"/>
    <mergeCell ref="AC35:AC36"/>
    <mergeCell ref="AD35:AD36"/>
    <mergeCell ref="AE35:AE36"/>
    <mergeCell ref="AF35:AF36"/>
    <mergeCell ref="Z35:Z36"/>
    <mergeCell ref="AA35:AA36"/>
    <mergeCell ref="AB35:AB36"/>
    <mergeCell ref="AF37:AF38"/>
    <mergeCell ref="S37:S38"/>
    <mergeCell ref="T37:T38"/>
    <mergeCell ref="U37:U38"/>
    <mergeCell ref="W37:W38"/>
    <mergeCell ref="X37:X38"/>
    <mergeCell ref="Y37:Y38"/>
    <mergeCell ref="E110:E111"/>
    <mergeCell ref="F110:F111"/>
    <mergeCell ref="G110:G111"/>
    <mergeCell ref="H110:H111"/>
    <mergeCell ref="K110:K111"/>
    <mergeCell ref="Z37:Z38"/>
    <mergeCell ref="K37:K38"/>
    <mergeCell ref="L37:L38"/>
    <mergeCell ref="M37:M38"/>
    <mergeCell ref="N37:N38"/>
    <mergeCell ref="E52:E53"/>
    <mergeCell ref="K40:K41"/>
    <mergeCell ref="K42:K43"/>
    <mergeCell ref="K44:K45"/>
    <mergeCell ref="K46:K47"/>
    <mergeCell ref="AA37:AA38"/>
    <mergeCell ref="AC37:AC38"/>
    <mergeCell ref="AD37:AD38"/>
    <mergeCell ref="Q40:Q41"/>
    <mergeCell ref="Q42:Q43"/>
    <mergeCell ref="Q44:Q45"/>
    <mergeCell ref="Q46:Q47"/>
    <mergeCell ref="Q48:Q49"/>
    <mergeCell ref="Q50:Q51"/>
    <mergeCell ref="Q52:Q53"/>
    <mergeCell ref="Q54:Q55"/>
    <mergeCell ref="Q56:Q57"/>
    <mergeCell ref="R40:R41"/>
    <mergeCell ref="S40:S41"/>
    <mergeCell ref="T40:T41"/>
    <mergeCell ref="R42:R43"/>
    <mergeCell ref="S42:S43"/>
    <mergeCell ref="T42:T43"/>
    <mergeCell ref="R44:R45"/>
    <mergeCell ref="S44:S45"/>
    <mergeCell ref="T44:T45"/>
    <mergeCell ref="R46:R47"/>
    <mergeCell ref="S46:S47"/>
    <mergeCell ref="T46:T47"/>
    <mergeCell ref="R48:R49"/>
    <mergeCell ref="S48:S49"/>
    <mergeCell ref="T48:T49"/>
    <mergeCell ref="R50:R51"/>
    <mergeCell ref="S50:S51"/>
    <mergeCell ref="T50:T51"/>
    <mergeCell ref="R52:R53"/>
    <mergeCell ref="S52:S53"/>
    <mergeCell ref="T52:T53"/>
    <mergeCell ref="R54:R55"/>
    <mergeCell ref="S54:S55"/>
    <mergeCell ref="L40:L41"/>
    <mergeCell ref="M40:M41"/>
    <mergeCell ref="N40:N41"/>
    <mergeCell ref="L42:L43"/>
    <mergeCell ref="M42:M43"/>
    <mergeCell ref="N42:N43"/>
    <mergeCell ref="L44:L45"/>
    <mergeCell ref="M44:M45"/>
    <mergeCell ref="N44:N45"/>
    <mergeCell ref="L46:L47"/>
    <mergeCell ref="M46:M47"/>
    <mergeCell ref="N46:N47"/>
    <mergeCell ref="L48:L49"/>
    <mergeCell ref="M48:M49"/>
    <mergeCell ref="N48:N49"/>
    <mergeCell ref="L50:L51"/>
    <mergeCell ref="M50:M51"/>
    <mergeCell ref="N50:N51"/>
    <mergeCell ref="W40:W41"/>
    <mergeCell ref="X40:X41"/>
    <mergeCell ref="Y40:Y41"/>
    <mergeCell ref="W46:W47"/>
    <mergeCell ref="X46:X47"/>
    <mergeCell ref="Y46:Y47"/>
    <mergeCell ref="W52:W53"/>
    <mergeCell ref="Z40:Z41"/>
    <mergeCell ref="W42:W43"/>
    <mergeCell ref="X42:X43"/>
    <mergeCell ref="Y42:Y43"/>
    <mergeCell ref="Z42:Z43"/>
    <mergeCell ref="W44:W45"/>
    <mergeCell ref="X44:X45"/>
    <mergeCell ref="Y44:Y45"/>
    <mergeCell ref="Z44:Z45"/>
    <mergeCell ref="Z46:Z47"/>
    <mergeCell ref="W48:W49"/>
    <mergeCell ref="X48:X49"/>
    <mergeCell ref="Y48:Y49"/>
    <mergeCell ref="Z48:Z49"/>
    <mergeCell ref="W50:W51"/>
    <mergeCell ref="X50:X51"/>
    <mergeCell ref="Y50:Y51"/>
    <mergeCell ref="Z50:Z51"/>
    <mergeCell ref="X52:X53"/>
    <mergeCell ref="Y52:Y53"/>
    <mergeCell ref="Z52:Z53"/>
    <mergeCell ref="Z56:Z57"/>
    <mergeCell ref="AC40:AC41"/>
    <mergeCell ref="AD40:AD41"/>
    <mergeCell ref="AC44:AC45"/>
    <mergeCell ref="AD44:AD45"/>
    <mergeCell ref="AC48:AC49"/>
    <mergeCell ref="AD48:AD49"/>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F40:F41"/>
    <mergeCell ref="G40:G41"/>
    <mergeCell ref="H40:H41"/>
    <mergeCell ref="F42:F43"/>
    <mergeCell ref="G42:G43"/>
    <mergeCell ref="H42:H43"/>
    <mergeCell ref="F44:F45"/>
    <mergeCell ref="G44:G45"/>
    <mergeCell ref="H44:H45"/>
    <mergeCell ref="F46:F47"/>
    <mergeCell ref="G46:G47"/>
    <mergeCell ref="H46:H47"/>
    <mergeCell ref="F48:F49"/>
    <mergeCell ref="G48:G49"/>
    <mergeCell ref="H48:H49"/>
    <mergeCell ref="F50:F51"/>
    <mergeCell ref="G50:G51"/>
    <mergeCell ref="H50:H51"/>
    <mergeCell ref="F52:F53"/>
    <mergeCell ref="G52:G53"/>
    <mergeCell ref="H52:H53"/>
    <mergeCell ref="F54:F55"/>
    <mergeCell ref="G54:G55"/>
    <mergeCell ref="H54:H55"/>
    <mergeCell ref="F56:F57"/>
    <mergeCell ref="G56:G57"/>
    <mergeCell ref="H56:H57"/>
    <mergeCell ref="E59:E60"/>
    <mergeCell ref="F59:F60"/>
    <mergeCell ref="G59:G60"/>
    <mergeCell ref="H59:H60"/>
    <mergeCell ref="E61:E62"/>
    <mergeCell ref="F61:F62"/>
    <mergeCell ref="G61:G62"/>
    <mergeCell ref="H61:H62"/>
    <mergeCell ref="E63:E64"/>
    <mergeCell ref="F63:F64"/>
    <mergeCell ref="G63:G64"/>
    <mergeCell ref="H63:H64"/>
    <mergeCell ref="K59:K60"/>
    <mergeCell ref="L59:L60"/>
    <mergeCell ref="M59:M60"/>
    <mergeCell ref="N59:N60"/>
    <mergeCell ref="K61:K62"/>
    <mergeCell ref="L61:L62"/>
    <mergeCell ref="M61:M62"/>
    <mergeCell ref="N61:N62"/>
    <mergeCell ref="J59:J60"/>
    <mergeCell ref="Q59:Q60"/>
    <mergeCell ref="R59:R60"/>
    <mergeCell ref="S59:S60"/>
    <mergeCell ref="T59:T60"/>
    <mergeCell ref="Q61:Q62"/>
    <mergeCell ref="R61:R62"/>
    <mergeCell ref="S61:S62"/>
    <mergeCell ref="T61:T62"/>
    <mergeCell ref="Q63:Q64"/>
    <mergeCell ref="R63:R64"/>
    <mergeCell ref="S63:S64"/>
    <mergeCell ref="T63:T64"/>
    <mergeCell ref="Q65:Q66"/>
    <mergeCell ref="R65:R66"/>
    <mergeCell ref="S65:S66"/>
    <mergeCell ref="T65:T66"/>
    <mergeCell ref="Q67:Q68"/>
    <mergeCell ref="R67:R68"/>
    <mergeCell ref="S67:S68"/>
    <mergeCell ref="T67:T68"/>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Z78:Z79"/>
    <mergeCell ref="AC74:AC75"/>
    <mergeCell ref="AD74:AD75"/>
    <mergeCell ref="AE74:AE75"/>
    <mergeCell ref="AF74:AF75"/>
    <mergeCell ref="AC78:AC79"/>
    <mergeCell ref="AD78:AD79"/>
    <mergeCell ref="AE78:AE79"/>
    <mergeCell ref="AF78:AF79"/>
    <mergeCell ref="E87:E88"/>
    <mergeCell ref="F87:F88"/>
    <mergeCell ref="G87:G88"/>
    <mergeCell ref="H87:H88"/>
    <mergeCell ref="E89:E90"/>
    <mergeCell ref="F89:F90"/>
    <mergeCell ref="G89:G90"/>
    <mergeCell ref="H89:H90"/>
    <mergeCell ref="E91:E92"/>
    <mergeCell ref="F91:F92"/>
    <mergeCell ref="G91:G92"/>
    <mergeCell ref="H91:H92"/>
    <mergeCell ref="E93:E94"/>
    <mergeCell ref="F93:F94"/>
    <mergeCell ref="G93:G94"/>
    <mergeCell ref="H93:H94"/>
    <mergeCell ref="K83:K84"/>
    <mergeCell ref="K93:K94"/>
    <mergeCell ref="J89:J90"/>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D93:AD94"/>
    <mergeCell ref="AE93:AE94"/>
    <mergeCell ref="AF93:AF94"/>
    <mergeCell ref="E96:E97"/>
    <mergeCell ref="F96:F97"/>
    <mergeCell ref="G96:G97"/>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E104:E105"/>
    <mergeCell ref="F104:F105"/>
    <mergeCell ref="G104:G105"/>
    <mergeCell ref="H104:H105"/>
    <mergeCell ref="E106:E107"/>
    <mergeCell ref="F106:F107"/>
    <mergeCell ref="G106:G107"/>
    <mergeCell ref="H106:H107"/>
    <mergeCell ref="K96:K97"/>
    <mergeCell ref="L96:L97"/>
    <mergeCell ref="M96:M97"/>
    <mergeCell ref="N96:N97"/>
    <mergeCell ref="K98:K99"/>
    <mergeCell ref="L98:L99"/>
    <mergeCell ref="M98:M99"/>
    <mergeCell ref="N98:N99"/>
    <mergeCell ref="K100:K101"/>
    <mergeCell ref="L100:L101"/>
    <mergeCell ref="M100:M101"/>
    <mergeCell ref="N100:N101"/>
    <mergeCell ref="K102:K103"/>
    <mergeCell ref="L102:L103"/>
    <mergeCell ref="M102:M103"/>
    <mergeCell ref="N102:N103"/>
    <mergeCell ref="K104:K105"/>
    <mergeCell ref="L104:L105"/>
    <mergeCell ref="M104:M105"/>
    <mergeCell ref="N104:N105"/>
    <mergeCell ref="K106:K107"/>
    <mergeCell ref="L106:L107"/>
    <mergeCell ref="M106:M107"/>
    <mergeCell ref="N106:N107"/>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W106:W107"/>
    <mergeCell ref="X106:X107"/>
    <mergeCell ref="Y106:Y107"/>
    <mergeCell ref="Z106:Z107"/>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L110:L111"/>
    <mergeCell ref="M110:M111"/>
    <mergeCell ref="N110:N111"/>
    <mergeCell ref="K112:K113"/>
    <mergeCell ref="L112:L113"/>
    <mergeCell ref="M112:M113"/>
    <mergeCell ref="N112:N113"/>
    <mergeCell ref="K114:K115"/>
    <mergeCell ref="L114:L115"/>
    <mergeCell ref="M114:M115"/>
    <mergeCell ref="N114:N115"/>
    <mergeCell ref="K116:K117"/>
    <mergeCell ref="L116:L117"/>
    <mergeCell ref="M116:M117"/>
    <mergeCell ref="N116:N117"/>
    <mergeCell ref="K118:K119"/>
    <mergeCell ref="L118:L119"/>
    <mergeCell ref="M118:M119"/>
    <mergeCell ref="N118:N119"/>
    <mergeCell ref="K120:K121"/>
    <mergeCell ref="L120:L121"/>
    <mergeCell ref="M120:M121"/>
    <mergeCell ref="N120:N121"/>
    <mergeCell ref="K122:K123"/>
    <mergeCell ref="L122:L123"/>
    <mergeCell ref="M122:M123"/>
    <mergeCell ref="N122:N123"/>
    <mergeCell ref="E112:E113"/>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Q120:Q121"/>
    <mergeCell ref="R120:R121"/>
    <mergeCell ref="S120:S121"/>
    <mergeCell ref="T120:T121"/>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E127:E128"/>
    <mergeCell ref="F127:F128"/>
    <mergeCell ref="G127:G128"/>
    <mergeCell ref="H127:H128"/>
    <mergeCell ref="K127:K128"/>
    <mergeCell ref="L127:L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J127:J128"/>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E146:E147"/>
    <mergeCell ref="F146:F147"/>
    <mergeCell ref="G146:G147"/>
    <mergeCell ref="H146:H147"/>
    <mergeCell ref="E148:E149"/>
    <mergeCell ref="F148:F149"/>
    <mergeCell ref="G148:G149"/>
    <mergeCell ref="H148:H149"/>
    <mergeCell ref="E150:E151"/>
    <mergeCell ref="F150:F151"/>
    <mergeCell ref="G150:G151"/>
    <mergeCell ref="H150:H151"/>
    <mergeCell ref="M127:M128"/>
    <mergeCell ref="N127:N128"/>
    <mergeCell ref="K129:K130"/>
    <mergeCell ref="L129:L130"/>
    <mergeCell ref="M129:M130"/>
    <mergeCell ref="N129:N130"/>
    <mergeCell ref="K131:K132"/>
    <mergeCell ref="L131:L132"/>
    <mergeCell ref="M131:M132"/>
    <mergeCell ref="N131:N132"/>
    <mergeCell ref="K133:K134"/>
    <mergeCell ref="L133:L134"/>
    <mergeCell ref="M133:M134"/>
    <mergeCell ref="N133:N134"/>
    <mergeCell ref="K135:K136"/>
    <mergeCell ref="L135:L136"/>
    <mergeCell ref="M135:M136"/>
    <mergeCell ref="N135:N136"/>
    <mergeCell ref="K137:K138"/>
    <mergeCell ref="L137:L138"/>
    <mergeCell ref="M137:M138"/>
    <mergeCell ref="N137:N138"/>
    <mergeCell ref="K139:K140"/>
    <mergeCell ref="L139:L140"/>
    <mergeCell ref="W127:W128"/>
    <mergeCell ref="X127:X128"/>
    <mergeCell ref="W131:W132"/>
    <mergeCell ref="X131:X132"/>
    <mergeCell ref="W135:W136"/>
    <mergeCell ref="X135:X136"/>
    <mergeCell ref="W139:W140"/>
    <mergeCell ref="X139:X140"/>
    <mergeCell ref="W141:W142"/>
    <mergeCell ref="X141:X142"/>
    <mergeCell ref="W146:W147"/>
    <mergeCell ref="X146:X147"/>
    <mergeCell ref="Q133:Q134"/>
    <mergeCell ref="R133:R134"/>
    <mergeCell ref="S133:S134"/>
    <mergeCell ref="T133:T134"/>
    <mergeCell ref="S135:S136"/>
    <mergeCell ref="T135:T136"/>
    <mergeCell ref="Q137:Q138"/>
    <mergeCell ref="R137:R138"/>
    <mergeCell ref="S137:S138"/>
    <mergeCell ref="T137:T138"/>
    <mergeCell ref="Q139:Q140"/>
    <mergeCell ref="R139:R140"/>
    <mergeCell ref="S139:S140"/>
    <mergeCell ref="T139:T140"/>
    <mergeCell ref="Q141:Q142"/>
    <mergeCell ref="R141:R142"/>
    <mergeCell ref="S141:S142"/>
    <mergeCell ref="T141:T142"/>
    <mergeCell ref="Y135:Y136"/>
    <mergeCell ref="Z135:Z136"/>
    <mergeCell ref="W137:W138"/>
    <mergeCell ref="X137:X138"/>
    <mergeCell ref="Y137:Y138"/>
    <mergeCell ref="Z137:Z138"/>
    <mergeCell ref="Q146:Q147"/>
    <mergeCell ref="R146:R147"/>
    <mergeCell ref="S146:S147"/>
    <mergeCell ref="T146:T147"/>
    <mergeCell ref="Q148:Q149"/>
    <mergeCell ref="R148:R149"/>
    <mergeCell ref="S148:S149"/>
    <mergeCell ref="T148:T149"/>
    <mergeCell ref="Q150:Q151"/>
    <mergeCell ref="R150:R151"/>
    <mergeCell ref="S150:S151"/>
    <mergeCell ref="T150:T151"/>
    <mergeCell ref="Y146:Y147"/>
    <mergeCell ref="Z146:Z147"/>
    <mergeCell ref="W148:W149"/>
    <mergeCell ref="X148:X149"/>
    <mergeCell ref="Y148:Y149"/>
    <mergeCell ref="Z148:Z149"/>
    <mergeCell ref="W150:W151"/>
    <mergeCell ref="X150:X151"/>
    <mergeCell ref="Y150:Y151"/>
    <mergeCell ref="Z150:Z151"/>
    <mergeCell ref="AC127:AC128"/>
    <mergeCell ref="AD127:AD128"/>
    <mergeCell ref="AC131:AC132"/>
    <mergeCell ref="AD131:AD132"/>
    <mergeCell ref="AC135:AC136"/>
    <mergeCell ref="AD135:AD136"/>
    <mergeCell ref="AE127:AE128"/>
    <mergeCell ref="AC139:AC140"/>
    <mergeCell ref="AD139:AD140"/>
    <mergeCell ref="AE139:AE140"/>
    <mergeCell ref="Y127:Y128"/>
    <mergeCell ref="Z127:Z128"/>
    <mergeCell ref="W129:W130"/>
    <mergeCell ref="X129:X130"/>
    <mergeCell ref="Y129:Y130"/>
    <mergeCell ref="Z129:Z130"/>
    <mergeCell ref="Y131:Y132"/>
    <mergeCell ref="Z131:Z132"/>
    <mergeCell ref="W133:W134"/>
    <mergeCell ref="X133:X134"/>
    <mergeCell ref="Y133:Y134"/>
    <mergeCell ref="Z133:Z134"/>
    <mergeCell ref="AF127:AF128"/>
    <mergeCell ref="AC129:AC130"/>
    <mergeCell ref="AD129:AD130"/>
    <mergeCell ref="AE129:AE130"/>
    <mergeCell ref="AF129:AF130"/>
    <mergeCell ref="AE131:AE132"/>
    <mergeCell ref="AF131:AF132"/>
    <mergeCell ref="AC133:AC134"/>
    <mergeCell ref="AD133:AD134"/>
    <mergeCell ref="AE133:AE134"/>
    <mergeCell ref="AF133:AF134"/>
    <mergeCell ref="AE135:AE136"/>
    <mergeCell ref="AF135:AF136"/>
    <mergeCell ref="AC137:AC138"/>
    <mergeCell ref="AD137:AD138"/>
    <mergeCell ref="AE137:AE138"/>
    <mergeCell ref="AF137:AF138"/>
    <mergeCell ref="AF139:AF140"/>
    <mergeCell ref="AC141:AC142"/>
    <mergeCell ref="AD141:AD142"/>
    <mergeCell ref="AE141:AE142"/>
    <mergeCell ref="AF141:AF142"/>
    <mergeCell ref="AC146:AC147"/>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53:E154"/>
    <mergeCell ref="F153:F154"/>
    <mergeCell ref="G153:G154"/>
    <mergeCell ref="H153:H154"/>
    <mergeCell ref="L153:L154"/>
    <mergeCell ref="M153:M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J155:J156"/>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53:K154"/>
    <mergeCell ref="K155:K156"/>
    <mergeCell ref="K157:K158"/>
    <mergeCell ref="K159:K160"/>
    <mergeCell ref="K161:K162"/>
    <mergeCell ref="K163:K164"/>
    <mergeCell ref="K165:K166"/>
    <mergeCell ref="K167:K168"/>
    <mergeCell ref="K169:K170"/>
    <mergeCell ref="K171:K172"/>
    <mergeCell ref="K173:K174"/>
    <mergeCell ref="K175:K176"/>
    <mergeCell ref="K177:K178"/>
    <mergeCell ref="K179:K180"/>
    <mergeCell ref="K181:K182"/>
    <mergeCell ref="K183:K184"/>
    <mergeCell ref="N153:N154"/>
    <mergeCell ref="L155:L156"/>
    <mergeCell ref="M155:M156"/>
    <mergeCell ref="N155:N156"/>
    <mergeCell ref="L157:L158"/>
    <mergeCell ref="M157:M158"/>
    <mergeCell ref="N157:N158"/>
    <mergeCell ref="L159:L160"/>
    <mergeCell ref="M159:M160"/>
    <mergeCell ref="N159:N160"/>
    <mergeCell ref="L161:L162"/>
    <mergeCell ref="M161:M162"/>
    <mergeCell ref="N161:N162"/>
    <mergeCell ref="L163:L164"/>
    <mergeCell ref="M163:M164"/>
    <mergeCell ref="N163:N164"/>
    <mergeCell ref="L165:L166"/>
    <mergeCell ref="M165:M166"/>
    <mergeCell ref="N165:N166"/>
    <mergeCell ref="N185:N186"/>
    <mergeCell ref="L187:L188"/>
    <mergeCell ref="M187:M188"/>
    <mergeCell ref="N187:N188"/>
    <mergeCell ref="Q153:Q154"/>
    <mergeCell ref="R153:R154"/>
    <mergeCell ref="S153:S154"/>
    <mergeCell ref="Q159:Q160"/>
    <mergeCell ref="R159:R160"/>
    <mergeCell ref="S159:S160"/>
    <mergeCell ref="Q165:Q166"/>
    <mergeCell ref="T153:T154"/>
    <mergeCell ref="Q155:Q156"/>
    <mergeCell ref="R155:R156"/>
    <mergeCell ref="S155:S156"/>
    <mergeCell ref="T155:T156"/>
    <mergeCell ref="Q157:Q158"/>
    <mergeCell ref="R157:R158"/>
    <mergeCell ref="S157:S158"/>
    <mergeCell ref="T157:T158"/>
    <mergeCell ref="T159:T160"/>
    <mergeCell ref="Q161:Q162"/>
    <mergeCell ref="R161:R162"/>
    <mergeCell ref="S161:S162"/>
    <mergeCell ref="T161:T162"/>
    <mergeCell ref="Q163:Q164"/>
    <mergeCell ref="R163:R164"/>
    <mergeCell ref="S163:S164"/>
    <mergeCell ref="T163:T164"/>
    <mergeCell ref="R165:R166"/>
    <mergeCell ref="S165:S166"/>
    <mergeCell ref="T165:T166"/>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E190:E191"/>
    <mergeCell ref="F190:F191"/>
    <mergeCell ref="G190:G191"/>
    <mergeCell ref="H190:H191"/>
    <mergeCell ref="E192:E193"/>
    <mergeCell ref="F192:F193"/>
    <mergeCell ref="G192:G193"/>
    <mergeCell ref="H192:H193"/>
    <mergeCell ref="K190:K191"/>
    <mergeCell ref="L190:L191"/>
    <mergeCell ref="M190:M191"/>
    <mergeCell ref="N190:N191"/>
    <mergeCell ref="K192:K193"/>
    <mergeCell ref="L192:L193"/>
    <mergeCell ref="M192:M193"/>
    <mergeCell ref="N192:N193"/>
    <mergeCell ref="Q190:Q191"/>
    <mergeCell ref="R190:R191"/>
    <mergeCell ref="S190:S191"/>
    <mergeCell ref="T190:T191"/>
    <mergeCell ref="Y192:Y193"/>
    <mergeCell ref="Z192:Z193"/>
    <mergeCell ref="AC190:AC191"/>
    <mergeCell ref="AD190:AD191"/>
    <mergeCell ref="AE190:AE191"/>
    <mergeCell ref="AF190:AF191"/>
    <mergeCell ref="AC192:AC193"/>
    <mergeCell ref="AD192:AD193"/>
    <mergeCell ref="AE192:AE193"/>
    <mergeCell ref="AF192:AF193"/>
    <mergeCell ref="E196:E197"/>
    <mergeCell ref="F196:F197"/>
    <mergeCell ref="G196:G197"/>
    <mergeCell ref="H196:H197"/>
    <mergeCell ref="E198:E199"/>
    <mergeCell ref="F198:F199"/>
    <mergeCell ref="G198:G199"/>
    <mergeCell ref="H198:H199"/>
    <mergeCell ref="K196:K197"/>
    <mergeCell ref="L196:L197"/>
    <mergeCell ref="K198:K199"/>
    <mergeCell ref="L198:L199"/>
    <mergeCell ref="R196:R197"/>
    <mergeCell ref="S196:S197"/>
    <mergeCell ref="T196:T197"/>
    <mergeCell ref="R198:R199"/>
    <mergeCell ref="S198:S199"/>
    <mergeCell ref="T198:T199"/>
    <mergeCell ref="X196:X197"/>
    <mergeCell ref="X198:X199"/>
    <mergeCell ref="AC196:AC197"/>
    <mergeCell ref="AC198:AC199"/>
    <mergeCell ref="W208:W209"/>
    <mergeCell ref="W210:W211"/>
    <mergeCell ref="K206:K207"/>
    <mergeCell ref="L206:L207"/>
    <mergeCell ref="M206:M207"/>
    <mergeCell ref="N206:N207"/>
    <mergeCell ref="K208:K209"/>
    <mergeCell ref="L208:L209"/>
    <mergeCell ref="M208:M209"/>
    <mergeCell ref="N208:N209"/>
    <mergeCell ref="K210:K211"/>
    <mergeCell ref="L210:L211"/>
    <mergeCell ref="M210:M211"/>
    <mergeCell ref="N210:N211"/>
    <mergeCell ref="Q196:Q197"/>
    <mergeCell ref="Q198:Q199"/>
    <mergeCell ref="Q200:Q201"/>
    <mergeCell ref="Q202:Q203"/>
    <mergeCell ref="Q204:Q205"/>
    <mergeCell ref="Q206:Q207"/>
    <mergeCell ref="Q208:Q209"/>
    <mergeCell ref="Q210:Q211"/>
    <mergeCell ref="Y202:Y203"/>
    <mergeCell ref="Y204:Y205"/>
    <mergeCell ref="Y206:Y207"/>
    <mergeCell ref="Y208:Y209"/>
    <mergeCell ref="Y210:Y211"/>
    <mergeCell ref="Z196:Z197"/>
    <mergeCell ref="Z198:Z199"/>
    <mergeCell ref="Z200:Z201"/>
    <mergeCell ref="Z202:Z203"/>
    <mergeCell ref="Z204:Z205"/>
    <mergeCell ref="Z206:Z207"/>
    <mergeCell ref="Z208:Z209"/>
    <mergeCell ref="Z210:Z211"/>
    <mergeCell ref="T202:T203"/>
    <mergeCell ref="R204:R205"/>
    <mergeCell ref="S204:S205"/>
    <mergeCell ref="T204:T205"/>
    <mergeCell ref="R206:R207"/>
    <mergeCell ref="S206:S207"/>
    <mergeCell ref="T206:T207"/>
    <mergeCell ref="R208:R209"/>
    <mergeCell ref="S208:S209"/>
    <mergeCell ref="T208:T209"/>
    <mergeCell ref="R210:R211"/>
    <mergeCell ref="S210:S211"/>
    <mergeCell ref="T210:T211"/>
    <mergeCell ref="W196:W197"/>
    <mergeCell ref="W198:W199"/>
    <mergeCell ref="W200:W201"/>
    <mergeCell ref="W202:W203"/>
    <mergeCell ref="W204:W205"/>
    <mergeCell ref="W206:W207"/>
    <mergeCell ref="K217:K218"/>
    <mergeCell ref="L217:L218"/>
    <mergeCell ref="M217:M218"/>
    <mergeCell ref="N217:N218"/>
    <mergeCell ref="Q213:Q214"/>
    <mergeCell ref="R213:R214"/>
    <mergeCell ref="Q217:Q218"/>
    <mergeCell ref="R217:R218"/>
    <mergeCell ref="K213:K214"/>
    <mergeCell ref="AC200:AC201"/>
    <mergeCell ref="AC202:AC203"/>
    <mergeCell ref="AC204:AC205"/>
    <mergeCell ref="AC206:AC207"/>
    <mergeCell ref="AC208:AC209"/>
    <mergeCell ref="AC210:AC211"/>
    <mergeCell ref="AD196:AD197"/>
    <mergeCell ref="AD198:AD199"/>
    <mergeCell ref="AD200:AD201"/>
    <mergeCell ref="AD202:AD203"/>
    <mergeCell ref="AD204:AD205"/>
    <mergeCell ref="AD206:AD207"/>
    <mergeCell ref="AD208:AD209"/>
    <mergeCell ref="AD210:AD211"/>
    <mergeCell ref="X200:X201"/>
    <mergeCell ref="X202:X203"/>
    <mergeCell ref="X204:X205"/>
    <mergeCell ref="X206:X207"/>
    <mergeCell ref="X208:X209"/>
    <mergeCell ref="X210:X211"/>
    <mergeCell ref="Y196:Y197"/>
    <mergeCell ref="Y198:Y199"/>
    <mergeCell ref="Y200:Y201"/>
    <mergeCell ref="AC213:AC214"/>
    <mergeCell ref="AD213:AD214"/>
    <mergeCell ref="AC217:AC218"/>
    <mergeCell ref="AD217:AD218"/>
    <mergeCell ref="AE213:AE214"/>
    <mergeCell ref="AF213:AF214"/>
    <mergeCell ref="AC215:AC216"/>
    <mergeCell ref="AD215:AD216"/>
    <mergeCell ref="AE215:AE216"/>
    <mergeCell ref="AF215:AF216"/>
    <mergeCell ref="AE217:AE218"/>
    <mergeCell ref="AF217:AF218"/>
    <mergeCell ref="AF196:AF197"/>
    <mergeCell ref="AF198:AF199"/>
    <mergeCell ref="AF200:AF201"/>
    <mergeCell ref="AF202:AF203"/>
    <mergeCell ref="AF204:AF205"/>
    <mergeCell ref="AF206:AF207"/>
    <mergeCell ref="AF208:AF209"/>
    <mergeCell ref="AF210:AF211"/>
    <mergeCell ref="AE196:AE197"/>
    <mergeCell ref="AE198:AE199"/>
    <mergeCell ref="AE200:AE201"/>
    <mergeCell ref="AE202:AE203"/>
    <mergeCell ref="AE204:AE205"/>
    <mergeCell ref="AE206:AE207"/>
    <mergeCell ref="AE208:AE209"/>
    <mergeCell ref="AE210:AE211"/>
    <mergeCell ref="G245:G246"/>
    <mergeCell ref="H245:H246"/>
    <mergeCell ref="E247:E248"/>
    <mergeCell ref="F247:F248"/>
    <mergeCell ref="G247:G248"/>
    <mergeCell ref="H247:H248"/>
    <mergeCell ref="X213:X214"/>
    <mergeCell ref="Y213:Y214"/>
    <mergeCell ref="Z213:Z214"/>
    <mergeCell ref="W215:W216"/>
    <mergeCell ref="X215:X216"/>
    <mergeCell ref="Y215:Y216"/>
    <mergeCell ref="Z215:Z216"/>
    <mergeCell ref="W217:W218"/>
    <mergeCell ref="X217:X218"/>
    <mergeCell ref="Y217:Y218"/>
    <mergeCell ref="Z217:Z218"/>
    <mergeCell ref="H213:H214"/>
    <mergeCell ref="E215:E216"/>
    <mergeCell ref="F215:F216"/>
    <mergeCell ref="G215:G216"/>
    <mergeCell ref="H215:H216"/>
    <mergeCell ref="E217:E218"/>
    <mergeCell ref="F217:F218"/>
    <mergeCell ref="G217:G218"/>
    <mergeCell ref="H217:H218"/>
    <mergeCell ref="M213:M214"/>
    <mergeCell ref="N213:N214"/>
    <mergeCell ref="K215:K216"/>
    <mergeCell ref="L215:L216"/>
    <mergeCell ref="M215:M216"/>
    <mergeCell ref="N215:N216"/>
    <mergeCell ref="E249:E250"/>
    <mergeCell ref="F249:F250"/>
    <mergeCell ref="G249:G250"/>
    <mergeCell ref="H249:H250"/>
    <mergeCell ref="E251:E252"/>
    <mergeCell ref="F251:F252"/>
    <mergeCell ref="G251:G252"/>
    <mergeCell ref="H251:H252"/>
    <mergeCell ref="E253:E254"/>
    <mergeCell ref="F253:F254"/>
    <mergeCell ref="G253:G254"/>
    <mergeCell ref="H253:H254"/>
    <mergeCell ref="K239:K240"/>
    <mergeCell ref="K241:K242"/>
    <mergeCell ref="K243:K244"/>
    <mergeCell ref="K245:K246"/>
    <mergeCell ref="K247:K248"/>
    <mergeCell ref="K249:K250"/>
    <mergeCell ref="K251:K252"/>
    <mergeCell ref="K253:K254"/>
    <mergeCell ref="G239:G240"/>
    <mergeCell ref="H239:H240"/>
    <mergeCell ref="E241:E242"/>
    <mergeCell ref="F241:F242"/>
    <mergeCell ref="G241:G242"/>
    <mergeCell ref="H241:H242"/>
    <mergeCell ref="E243:E244"/>
    <mergeCell ref="F243:F244"/>
    <mergeCell ref="G243:G244"/>
    <mergeCell ref="H243:H244"/>
    <mergeCell ref="E245:E246"/>
    <mergeCell ref="F245:F246"/>
    <mergeCell ref="N239:N240"/>
    <mergeCell ref="N241:N242"/>
    <mergeCell ref="N243:N244"/>
    <mergeCell ref="N245:N246"/>
    <mergeCell ref="N247:N248"/>
    <mergeCell ref="N249:N250"/>
    <mergeCell ref="N251:N252"/>
    <mergeCell ref="N253:N254"/>
    <mergeCell ref="Q237:Q238"/>
    <mergeCell ref="Q239:Q240"/>
    <mergeCell ref="Q241:Q242"/>
    <mergeCell ref="Q243:Q244"/>
    <mergeCell ref="Q245:Q246"/>
    <mergeCell ref="Q247:Q248"/>
    <mergeCell ref="Q249:Q250"/>
    <mergeCell ref="Q251:Q252"/>
    <mergeCell ref="Q253:Q254"/>
    <mergeCell ref="R237:R238"/>
    <mergeCell ref="R239:R240"/>
    <mergeCell ref="R241:R242"/>
    <mergeCell ref="R243:R244"/>
    <mergeCell ref="R245:R246"/>
    <mergeCell ref="R247:R248"/>
    <mergeCell ref="R249:R250"/>
    <mergeCell ref="R251:R252"/>
    <mergeCell ref="R253:R254"/>
    <mergeCell ref="S239:S240"/>
    <mergeCell ref="S241:S242"/>
    <mergeCell ref="S243:S244"/>
    <mergeCell ref="S245:S246"/>
    <mergeCell ref="S247:S248"/>
    <mergeCell ref="S249:S250"/>
    <mergeCell ref="S251:S252"/>
    <mergeCell ref="S253:S254"/>
    <mergeCell ref="T237:T238"/>
    <mergeCell ref="T239:T240"/>
    <mergeCell ref="T241:T242"/>
    <mergeCell ref="T243:T244"/>
    <mergeCell ref="T245:T246"/>
    <mergeCell ref="T247:T248"/>
    <mergeCell ref="T249:T250"/>
    <mergeCell ref="T251:T252"/>
    <mergeCell ref="T253:T254"/>
    <mergeCell ref="W237:W238"/>
    <mergeCell ref="W239:W240"/>
    <mergeCell ref="W241:W242"/>
    <mergeCell ref="W243:W244"/>
    <mergeCell ref="W245:W246"/>
    <mergeCell ref="W247:W248"/>
    <mergeCell ref="W249:W250"/>
    <mergeCell ref="W251:W252"/>
    <mergeCell ref="W253:W254"/>
    <mergeCell ref="X239:X240"/>
    <mergeCell ref="X241:X242"/>
    <mergeCell ref="X243:X244"/>
    <mergeCell ref="X245:X246"/>
    <mergeCell ref="X247:X248"/>
    <mergeCell ref="X249:X250"/>
    <mergeCell ref="X251:X252"/>
    <mergeCell ref="X253:X254"/>
    <mergeCell ref="Y237:Y238"/>
    <mergeCell ref="Y239:Y240"/>
    <mergeCell ref="Y241:Y242"/>
    <mergeCell ref="Y243:Y244"/>
    <mergeCell ref="Y245:Y246"/>
    <mergeCell ref="Y247:Y248"/>
    <mergeCell ref="Y249:Y250"/>
    <mergeCell ref="Y251:Y252"/>
    <mergeCell ref="Y253:Y254"/>
    <mergeCell ref="Z237:Z238"/>
    <mergeCell ref="Z239:Z240"/>
    <mergeCell ref="Z241:Z242"/>
    <mergeCell ref="Z243:Z244"/>
    <mergeCell ref="Z245:Z246"/>
    <mergeCell ref="Z247:Z248"/>
    <mergeCell ref="Z249:Z250"/>
    <mergeCell ref="Z251:Z252"/>
    <mergeCell ref="Z253:Z254"/>
    <mergeCell ref="AC237:AC238"/>
    <mergeCell ref="AC239:AC240"/>
    <mergeCell ref="AC241:AC242"/>
    <mergeCell ref="AC243:AC244"/>
    <mergeCell ref="AC245:AC246"/>
    <mergeCell ref="AC247:AC248"/>
    <mergeCell ref="AC249:AC250"/>
    <mergeCell ref="AC251:AC252"/>
    <mergeCell ref="AC253:AC254"/>
    <mergeCell ref="AF237:AF238"/>
    <mergeCell ref="AF239:AF240"/>
    <mergeCell ref="AF241:AF242"/>
    <mergeCell ref="AF243:AF244"/>
    <mergeCell ref="AF245:AF246"/>
    <mergeCell ref="AF247:AF248"/>
    <mergeCell ref="AF249:AF250"/>
    <mergeCell ref="AF251:AF252"/>
    <mergeCell ref="AF253:AF254"/>
    <mergeCell ref="AD237:AD238"/>
    <mergeCell ref="AD239:AD240"/>
    <mergeCell ref="AD241:AD242"/>
    <mergeCell ref="AD243:AD244"/>
    <mergeCell ref="AD245:AD246"/>
    <mergeCell ref="AD247:AD248"/>
    <mergeCell ref="AD249:AD250"/>
    <mergeCell ref="AD251:AD252"/>
    <mergeCell ref="AD253:AD254"/>
    <mergeCell ref="AE237:AE238"/>
    <mergeCell ref="AE239:AE240"/>
    <mergeCell ref="AE241:AE242"/>
    <mergeCell ref="AE243:AE244"/>
    <mergeCell ref="AE245:AE246"/>
    <mergeCell ref="AE247:AE248"/>
    <mergeCell ref="AE249:AE250"/>
    <mergeCell ref="AE251:AE252"/>
    <mergeCell ref="AE253:AE254"/>
  </mergeCells>
  <phoneticPr fontId="21" type="noConversion"/>
  <pageMargins left="0.18" right="0.1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D7F-8BE0-4472-AD26-B86F3EFD676F}">
  <dimension ref="A1:AH280"/>
  <sheetViews>
    <sheetView zoomScale="90" zoomScaleNormal="90" workbookViewId="0">
      <pane xSplit="3" ySplit="12" topLeftCell="D240" activePane="bottomRight" state="frozen"/>
      <selection pane="topRight" activeCell="J1" sqref="J1"/>
      <selection pane="bottomLeft" activeCell="A13" sqref="A13"/>
      <selection pane="bottomRight" activeCell="W3" sqref="W3"/>
    </sheetView>
  </sheetViews>
  <sheetFormatPr defaultColWidth="9.109375" defaultRowHeight="10.199999999999999" x14ac:dyDescent="0.2"/>
  <cols>
    <col min="1" max="1" width="6.33203125" style="3" customWidth="1"/>
    <col min="2" max="2" width="22.109375" style="7" customWidth="1"/>
    <col min="3" max="3" width="6.44140625" style="3" customWidth="1"/>
    <col min="4" max="4" width="7.77734375" style="3" customWidth="1"/>
    <col min="5" max="21" width="4.77734375" style="3" customWidth="1"/>
    <col min="22" max="22" width="5.88671875" style="3" customWidth="1"/>
    <col min="23" max="34" width="4.77734375" style="3" customWidth="1"/>
    <col min="35" max="16384" width="9.109375" style="3"/>
  </cols>
  <sheetData>
    <row r="1" spans="1:34" x14ac:dyDescent="0.2">
      <c r="A1" s="62"/>
      <c r="B1" s="1"/>
      <c r="C1" s="62"/>
      <c r="D1" s="62"/>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row>
    <row r="2" spans="1:34" x14ac:dyDescent="0.2">
      <c r="A2" s="341" t="s">
        <v>51</v>
      </c>
      <c r="B2" s="341"/>
      <c r="C2" s="341"/>
      <c r="D2" s="326"/>
      <c r="E2" s="326"/>
      <c r="F2" s="326"/>
      <c r="G2" s="326"/>
      <c r="H2" s="326"/>
      <c r="I2" s="326"/>
      <c r="J2" s="326"/>
      <c r="K2" s="326"/>
      <c r="L2" s="326"/>
      <c r="M2" s="326"/>
      <c r="N2" s="326"/>
      <c r="O2" s="326"/>
      <c r="P2" s="326"/>
      <c r="Q2" s="326"/>
      <c r="R2" s="326"/>
      <c r="S2" s="326"/>
      <c r="T2" s="326"/>
      <c r="U2" s="326"/>
      <c r="V2" s="11"/>
      <c r="W2" s="11"/>
      <c r="X2" s="11"/>
      <c r="Y2" s="11"/>
      <c r="Z2" s="11"/>
      <c r="AA2" s="11"/>
      <c r="AB2" s="11"/>
      <c r="AC2" s="11"/>
      <c r="AD2" s="11"/>
      <c r="AE2" s="11"/>
      <c r="AF2" s="11"/>
      <c r="AG2" s="11"/>
      <c r="AH2" s="11"/>
    </row>
    <row r="3" spans="1:34" x14ac:dyDescent="0.2">
      <c r="A3" s="341" t="s">
        <v>50</v>
      </c>
      <c r="B3" s="341"/>
      <c r="C3" s="341"/>
      <c r="D3" s="326"/>
      <c r="E3" s="326"/>
      <c r="F3" s="326"/>
      <c r="G3" s="326"/>
      <c r="H3" s="326"/>
      <c r="I3" s="326"/>
      <c r="J3" s="326"/>
      <c r="K3" s="11"/>
      <c r="L3" s="11"/>
      <c r="M3" s="11"/>
      <c r="N3" s="11"/>
      <c r="O3" s="11"/>
      <c r="P3" s="11"/>
      <c r="Q3" s="11"/>
      <c r="R3" s="11"/>
      <c r="S3" s="11"/>
      <c r="T3" s="11"/>
      <c r="U3" s="11"/>
      <c r="V3" s="11"/>
      <c r="W3" s="11"/>
      <c r="X3" s="11"/>
      <c r="Y3" s="11"/>
      <c r="Z3" s="11"/>
      <c r="AA3" s="11"/>
      <c r="AB3" s="11"/>
      <c r="AC3" s="11"/>
      <c r="AD3" s="11"/>
      <c r="AE3" s="11"/>
      <c r="AF3" s="11"/>
      <c r="AG3" s="11"/>
      <c r="AH3" s="11"/>
    </row>
    <row r="4" spans="1:34" x14ac:dyDescent="0.2">
      <c r="A4" s="341" t="s">
        <v>55</v>
      </c>
      <c r="B4" s="341"/>
      <c r="C4" s="341"/>
      <c r="D4" s="63"/>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34" x14ac:dyDescent="0.2">
      <c r="A5" s="343" t="s">
        <v>148</v>
      </c>
      <c r="B5" s="326"/>
      <c r="C5" s="64"/>
      <c r="D5" s="64"/>
      <c r="E5" s="11"/>
      <c r="F5" s="11"/>
      <c r="G5" s="11"/>
      <c r="H5" s="11"/>
      <c r="I5" s="11"/>
      <c r="J5" s="11"/>
      <c r="K5" s="11"/>
      <c r="L5" s="11"/>
      <c r="M5" s="11"/>
      <c r="N5" s="11"/>
      <c r="O5" s="11"/>
      <c r="P5" s="11"/>
      <c r="Q5" s="11" t="s">
        <v>74</v>
      </c>
      <c r="R5" s="15"/>
      <c r="S5" s="11"/>
      <c r="T5" s="11"/>
      <c r="U5" s="11"/>
      <c r="V5" s="11"/>
      <c r="W5" s="11" t="s">
        <v>74</v>
      </c>
      <c r="X5" s="11"/>
      <c r="Y5" s="324"/>
      <c r="Z5" s="11"/>
      <c r="AA5" s="11"/>
      <c r="AB5" s="11"/>
      <c r="AC5" s="11" t="s">
        <v>74</v>
      </c>
      <c r="AD5" s="11"/>
      <c r="AE5" s="11"/>
      <c r="AF5" s="11"/>
      <c r="AG5" s="11"/>
      <c r="AH5" s="11"/>
    </row>
    <row r="6" spans="1:34" x14ac:dyDescent="0.2">
      <c r="A6" s="343" t="s">
        <v>154</v>
      </c>
      <c r="B6" s="326"/>
      <c r="C6" s="62"/>
      <c r="D6" s="62"/>
      <c r="E6" s="11"/>
      <c r="F6" s="11"/>
      <c r="G6" s="11"/>
      <c r="H6" s="11"/>
      <c r="I6" s="16"/>
      <c r="J6" s="16"/>
      <c r="K6" s="11"/>
      <c r="L6" s="11"/>
      <c r="M6" s="11"/>
      <c r="N6" s="11"/>
      <c r="O6" s="16"/>
      <c r="P6" s="11"/>
      <c r="Q6" s="11"/>
      <c r="R6" s="11"/>
      <c r="S6" s="11"/>
      <c r="T6" s="11"/>
      <c r="U6" s="16"/>
      <c r="V6" s="16"/>
      <c r="W6" s="11"/>
      <c r="X6" s="11"/>
      <c r="Y6" s="324"/>
      <c r="Z6" s="11"/>
      <c r="AA6" s="16"/>
      <c r="AB6" s="16"/>
      <c r="AC6" s="11"/>
      <c r="AD6" s="11"/>
      <c r="AE6" s="11"/>
      <c r="AF6" s="11"/>
      <c r="AG6" s="16"/>
      <c r="AH6" s="16"/>
    </row>
    <row r="7" spans="1:34" x14ac:dyDescent="0.2">
      <c r="A7" s="325"/>
      <c r="B7" s="325"/>
      <c r="C7" s="325"/>
      <c r="D7" s="326"/>
      <c r="E7" s="326"/>
      <c r="F7" s="326"/>
      <c r="G7" s="326"/>
      <c r="H7" s="326"/>
      <c r="I7" s="326"/>
      <c r="J7" s="326"/>
      <c r="K7" s="326"/>
      <c r="L7" s="326"/>
      <c r="O7" s="11"/>
      <c r="P7" s="11"/>
      <c r="U7" s="11"/>
      <c r="V7" s="11"/>
      <c r="AA7" s="11"/>
      <c r="AB7" s="11"/>
      <c r="AG7" s="11"/>
      <c r="AH7" s="11"/>
    </row>
    <row r="8" spans="1:34" x14ac:dyDescent="0.2">
      <c r="A8" s="325" t="s">
        <v>178</v>
      </c>
      <c r="B8" s="325"/>
      <c r="C8" s="325"/>
      <c r="D8" s="326"/>
      <c r="E8" s="326"/>
      <c r="F8" s="326"/>
      <c r="G8" s="326"/>
      <c r="H8" s="326"/>
      <c r="I8" s="326"/>
      <c r="J8" s="326"/>
      <c r="K8" s="326"/>
      <c r="L8" s="326"/>
      <c r="M8" s="326"/>
      <c r="N8" s="326"/>
      <c r="O8" s="326"/>
      <c r="P8" s="326"/>
      <c r="Q8" s="326"/>
      <c r="R8" s="326"/>
      <c r="U8" s="11"/>
      <c r="V8" s="11"/>
      <c r="AA8" s="11"/>
      <c r="AB8" s="11"/>
      <c r="AG8" s="11"/>
      <c r="AH8" s="11"/>
    </row>
    <row r="9" spans="1:34" ht="10.8" thickBot="1" x14ac:dyDescent="0.25">
      <c r="A9" s="62"/>
      <c r="B9" s="1"/>
      <c r="C9" s="62"/>
      <c r="D9" s="62"/>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row>
    <row r="10" spans="1:34" ht="15.75" customHeight="1" x14ac:dyDescent="0.2">
      <c r="A10" s="65"/>
      <c r="B10" s="333" t="s">
        <v>38</v>
      </c>
      <c r="C10" s="334"/>
      <c r="D10" s="141" t="s">
        <v>117</v>
      </c>
      <c r="E10" s="290">
        <v>2026</v>
      </c>
      <c r="F10" s="290"/>
      <c r="G10" s="290"/>
      <c r="H10" s="290"/>
      <c r="I10" s="251"/>
      <c r="J10" s="19"/>
      <c r="K10" s="290">
        <v>2027</v>
      </c>
      <c r="L10" s="290"/>
      <c r="M10" s="290"/>
      <c r="N10" s="290"/>
      <c r="O10" s="251"/>
      <c r="P10" s="311"/>
      <c r="Q10" s="22">
        <v>2028</v>
      </c>
      <c r="R10" s="22"/>
      <c r="S10" s="22"/>
      <c r="T10" s="22"/>
      <c r="U10" s="19"/>
      <c r="V10" s="81"/>
      <c r="W10" s="290">
        <v>2029</v>
      </c>
      <c r="X10" s="290"/>
      <c r="Y10" s="290"/>
      <c r="Z10" s="290"/>
      <c r="AA10" s="251"/>
      <c r="AB10" s="19"/>
      <c r="AC10" s="290">
        <v>2030</v>
      </c>
      <c r="AD10" s="290"/>
      <c r="AE10" s="290"/>
      <c r="AF10" s="290"/>
      <c r="AG10" s="251"/>
      <c r="AH10" s="19"/>
    </row>
    <row r="11" spans="1:34" ht="15.75" customHeight="1" x14ac:dyDescent="0.2">
      <c r="A11" s="65"/>
      <c r="B11" s="333"/>
      <c r="C11" s="334"/>
      <c r="D11" s="142"/>
      <c r="E11" s="290" t="s">
        <v>93</v>
      </c>
      <c r="F11" s="290"/>
      <c r="G11" s="323"/>
      <c r="H11" s="323"/>
      <c r="I11" s="323"/>
      <c r="J11" s="311"/>
      <c r="K11" s="290" t="s">
        <v>93</v>
      </c>
      <c r="L11" s="290"/>
      <c r="M11" s="323"/>
      <c r="N11" s="323"/>
      <c r="O11" s="323"/>
      <c r="P11" s="68"/>
      <c r="Q11" s="22" t="s">
        <v>93</v>
      </c>
      <c r="R11" s="22"/>
      <c r="S11" s="68"/>
      <c r="T11" s="68"/>
      <c r="U11" s="68"/>
      <c r="V11" s="68"/>
      <c r="W11" s="290" t="s">
        <v>93</v>
      </c>
      <c r="X11" s="290"/>
      <c r="Y11" s="323"/>
      <c r="Z11" s="323"/>
      <c r="AA11" s="323"/>
      <c r="AB11" s="68"/>
      <c r="AC11" s="290" t="s">
        <v>93</v>
      </c>
      <c r="AD11" s="290"/>
      <c r="AE11" s="323"/>
      <c r="AF11" s="323"/>
      <c r="AG11" s="323"/>
      <c r="AH11" s="68"/>
    </row>
    <row r="12" spans="1:34" ht="10.8" thickBot="1" x14ac:dyDescent="0.25">
      <c r="A12" s="65"/>
      <c r="B12" s="333"/>
      <c r="C12" s="334"/>
      <c r="D12" s="143"/>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ht="10.8" thickBot="1" x14ac:dyDescent="0.25">
      <c r="A13" s="69">
        <v>0</v>
      </c>
      <c r="B13" s="66">
        <v>1</v>
      </c>
      <c r="C13" s="69">
        <v>2</v>
      </c>
      <c r="D13" s="144">
        <v>3</v>
      </c>
      <c r="E13" s="69" t="s">
        <v>113</v>
      </c>
      <c r="F13" s="69" t="s">
        <v>114</v>
      </c>
      <c r="G13" s="69" t="s">
        <v>115</v>
      </c>
      <c r="H13" s="69" t="s">
        <v>116</v>
      </c>
      <c r="I13" s="69"/>
      <c r="J13" s="69"/>
      <c r="K13" s="69" t="s">
        <v>113</v>
      </c>
      <c r="L13" s="69" t="s">
        <v>114</v>
      </c>
      <c r="M13" s="69" t="s">
        <v>115</v>
      </c>
      <c r="N13" s="69" t="s">
        <v>116</v>
      </c>
      <c r="O13" s="69"/>
      <c r="P13" s="69"/>
      <c r="Q13" s="69" t="s">
        <v>113</v>
      </c>
      <c r="R13" s="69" t="s">
        <v>114</v>
      </c>
      <c r="S13" s="69" t="s">
        <v>115</v>
      </c>
      <c r="T13" s="69" t="s">
        <v>116</v>
      </c>
      <c r="U13" s="69"/>
      <c r="V13" s="69"/>
      <c r="W13" s="69" t="s">
        <v>113</v>
      </c>
      <c r="X13" s="69" t="s">
        <v>114</v>
      </c>
      <c r="Y13" s="69" t="s">
        <v>115</v>
      </c>
      <c r="Z13" s="69" t="s">
        <v>116</v>
      </c>
      <c r="AA13" s="69"/>
      <c r="AB13" s="69"/>
      <c r="AC13" s="69" t="s">
        <v>113</v>
      </c>
      <c r="AD13" s="69" t="s">
        <v>114</v>
      </c>
      <c r="AE13" s="69" t="s">
        <v>115</v>
      </c>
      <c r="AF13" s="69" t="s">
        <v>116</v>
      </c>
      <c r="AG13" s="69"/>
      <c r="AH13" s="69"/>
    </row>
    <row r="14" spans="1:34" ht="10.8" thickBot="1" x14ac:dyDescent="0.25">
      <c r="A14" s="65">
        <v>1.1000000000000001</v>
      </c>
      <c r="B14" s="423" t="s">
        <v>105</v>
      </c>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5"/>
    </row>
    <row r="15" spans="1:34" ht="15.75" customHeight="1" thickBot="1" x14ac:dyDescent="0.25">
      <c r="A15" s="339"/>
      <c r="B15" s="327" t="s">
        <v>92</v>
      </c>
      <c r="C15" s="315" t="s">
        <v>6</v>
      </c>
      <c r="D15" s="435"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339"/>
      <c r="B16" s="327"/>
      <c r="C16" s="315"/>
      <c r="D16" s="436"/>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339"/>
      <c r="B17" s="327"/>
      <c r="C17" s="315" t="s">
        <v>7</v>
      </c>
      <c r="D17" s="435"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339"/>
      <c r="B18" s="327"/>
      <c r="C18" s="315"/>
      <c r="D18" s="436"/>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339"/>
      <c r="B19" s="327"/>
      <c r="C19" s="315" t="s">
        <v>8</v>
      </c>
      <c r="D19" s="435"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339"/>
      <c r="B20" s="327"/>
      <c r="C20" s="315"/>
      <c r="D20" s="436"/>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339"/>
      <c r="B21" s="327" t="s">
        <v>80</v>
      </c>
      <c r="C21" s="315" t="s">
        <v>6</v>
      </c>
      <c r="D21" s="435"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339"/>
      <c r="B22" s="327"/>
      <c r="C22" s="315"/>
      <c r="D22" s="436"/>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339"/>
      <c r="B23" s="327"/>
      <c r="C23" s="315" t="s">
        <v>7</v>
      </c>
      <c r="D23" s="435"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339"/>
      <c r="B24" s="327"/>
      <c r="C24" s="315"/>
      <c r="D24" s="436"/>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339"/>
      <c r="B25" s="327"/>
      <c r="C25" s="315" t="s">
        <v>8</v>
      </c>
      <c r="D25" s="435"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339"/>
      <c r="B26" s="327"/>
      <c r="C26" s="315"/>
      <c r="D26" s="436"/>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339"/>
      <c r="B27" s="327" t="s">
        <v>81</v>
      </c>
      <c r="C27" s="315" t="s">
        <v>6</v>
      </c>
      <c r="D27" s="435"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339"/>
      <c r="B28" s="327"/>
      <c r="C28" s="315"/>
      <c r="D28" s="436"/>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339"/>
      <c r="B29" s="327"/>
      <c r="C29" s="315" t="s">
        <v>7</v>
      </c>
      <c r="D29" s="435"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339"/>
      <c r="B30" s="327"/>
      <c r="C30" s="315"/>
      <c r="D30" s="436"/>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339"/>
      <c r="B31" s="327"/>
      <c r="C31" s="315" t="s">
        <v>8</v>
      </c>
      <c r="D31" s="435"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339"/>
      <c r="B32" s="327"/>
      <c r="C32" s="315"/>
      <c r="D32" s="436"/>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339"/>
      <c r="B33" s="294" t="s">
        <v>79</v>
      </c>
      <c r="C33" s="315" t="s">
        <v>9</v>
      </c>
      <c r="D33" s="434"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339"/>
      <c r="B34" s="294"/>
      <c r="C34" s="315"/>
      <c r="D34" s="373"/>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339"/>
      <c r="B35" s="294"/>
      <c r="C35" s="315" t="s">
        <v>10</v>
      </c>
      <c r="D35" s="434"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339"/>
      <c r="B36" s="294"/>
      <c r="C36" s="315"/>
      <c r="D36" s="373"/>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339"/>
      <c r="B37" s="294"/>
      <c r="C37" s="315" t="s">
        <v>11</v>
      </c>
      <c r="D37" s="434"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339"/>
      <c r="B38" s="294"/>
      <c r="C38" s="315"/>
      <c r="D38" s="373"/>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ht="10.8" thickBot="1" x14ac:dyDescent="0.25">
      <c r="A39" s="65">
        <v>1.2</v>
      </c>
      <c r="B39" s="421" t="s">
        <v>12</v>
      </c>
      <c r="C39" s="422"/>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420"/>
    </row>
    <row r="40" spans="1:34" x14ac:dyDescent="0.2">
      <c r="A40" s="339"/>
      <c r="B40" s="327" t="s">
        <v>39</v>
      </c>
      <c r="C40" s="327" t="s">
        <v>6</v>
      </c>
      <c r="D40" s="435"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9">
        <v>1</v>
      </c>
      <c r="W40" s="252">
        <v>1</v>
      </c>
      <c r="X40" s="252">
        <v>1</v>
      </c>
      <c r="Y40" s="252">
        <v>1</v>
      </c>
      <c r="Z40" s="252">
        <v>1</v>
      </c>
      <c r="AA40" s="19"/>
      <c r="AB40" s="252">
        <v>1</v>
      </c>
      <c r="AC40" s="252">
        <v>1</v>
      </c>
      <c r="AD40" s="252">
        <v>1</v>
      </c>
      <c r="AE40" s="252">
        <v>1</v>
      </c>
      <c r="AF40" s="252">
        <v>1</v>
      </c>
      <c r="AG40" s="19"/>
      <c r="AH40" s="252">
        <v>1</v>
      </c>
    </row>
    <row r="41" spans="1:34" ht="10.8" thickBot="1" x14ac:dyDescent="0.25">
      <c r="A41" s="339"/>
      <c r="B41" s="327"/>
      <c r="C41" s="327"/>
      <c r="D41" s="436"/>
      <c r="E41" s="252"/>
      <c r="F41" s="252"/>
      <c r="G41" s="252"/>
      <c r="H41" s="252"/>
      <c r="I41" s="251"/>
      <c r="J41" s="252"/>
      <c r="K41" s="252"/>
      <c r="L41" s="252"/>
      <c r="M41" s="252"/>
      <c r="N41" s="252"/>
      <c r="O41" s="19"/>
      <c r="P41" s="252"/>
      <c r="Q41" s="252"/>
      <c r="R41" s="252"/>
      <c r="S41" s="252"/>
      <c r="T41" s="252"/>
      <c r="U41" s="19"/>
      <c r="V41" s="29"/>
      <c r="W41" s="252"/>
      <c r="X41" s="252"/>
      <c r="Y41" s="252"/>
      <c r="Z41" s="252"/>
      <c r="AA41" s="19"/>
      <c r="AB41" s="252"/>
      <c r="AC41" s="252"/>
      <c r="AD41" s="252"/>
      <c r="AE41" s="252"/>
      <c r="AF41" s="252"/>
      <c r="AG41" s="19"/>
      <c r="AH41" s="252"/>
    </row>
    <row r="42" spans="1:34" x14ac:dyDescent="0.2">
      <c r="A42" s="339"/>
      <c r="B42" s="327"/>
      <c r="C42" s="327" t="s">
        <v>7</v>
      </c>
      <c r="D42" s="435"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9">
        <v>1</v>
      </c>
      <c r="W42" s="252">
        <v>1</v>
      </c>
      <c r="X42" s="252">
        <v>1</v>
      </c>
      <c r="Y42" s="252">
        <v>1</v>
      </c>
      <c r="Z42" s="252">
        <v>1</v>
      </c>
      <c r="AA42" s="19"/>
      <c r="AB42" s="252">
        <v>1</v>
      </c>
      <c r="AC42" s="252">
        <v>1</v>
      </c>
      <c r="AD42" s="252">
        <v>1</v>
      </c>
      <c r="AE42" s="252">
        <v>1</v>
      </c>
      <c r="AF42" s="252">
        <v>1</v>
      </c>
      <c r="AG42" s="19"/>
      <c r="AH42" s="252">
        <v>1</v>
      </c>
    </row>
    <row r="43" spans="1:34" ht="10.8" thickBot="1" x14ac:dyDescent="0.25">
      <c r="A43" s="339"/>
      <c r="B43" s="327"/>
      <c r="C43" s="327"/>
      <c r="D43" s="436"/>
      <c r="E43" s="252"/>
      <c r="F43" s="252"/>
      <c r="G43" s="252"/>
      <c r="H43" s="252"/>
      <c r="I43" s="251"/>
      <c r="J43" s="252"/>
      <c r="K43" s="252"/>
      <c r="L43" s="252"/>
      <c r="M43" s="252"/>
      <c r="N43" s="252"/>
      <c r="O43" s="19"/>
      <c r="P43" s="252"/>
      <c r="Q43" s="252"/>
      <c r="R43" s="252"/>
      <c r="S43" s="252"/>
      <c r="T43" s="252"/>
      <c r="U43" s="19"/>
      <c r="V43" s="29"/>
      <c r="W43" s="252"/>
      <c r="X43" s="252"/>
      <c r="Y43" s="252"/>
      <c r="Z43" s="252"/>
      <c r="AA43" s="19"/>
      <c r="AB43" s="252"/>
      <c r="AC43" s="252"/>
      <c r="AD43" s="252"/>
      <c r="AE43" s="252"/>
      <c r="AF43" s="252"/>
      <c r="AG43" s="19"/>
      <c r="AH43" s="252"/>
    </row>
    <row r="44" spans="1:34" x14ac:dyDescent="0.2">
      <c r="A44" s="339"/>
      <c r="B44" s="327"/>
      <c r="C44" s="327" t="s">
        <v>8</v>
      </c>
      <c r="D44" s="434"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9">
        <v>1</v>
      </c>
      <c r="W44" s="252">
        <v>1</v>
      </c>
      <c r="X44" s="252">
        <v>1</v>
      </c>
      <c r="Y44" s="252">
        <v>1</v>
      </c>
      <c r="Z44" s="252">
        <v>1</v>
      </c>
      <c r="AA44" s="19"/>
      <c r="AB44" s="252">
        <v>1</v>
      </c>
      <c r="AC44" s="252">
        <v>1</v>
      </c>
      <c r="AD44" s="252">
        <v>1</v>
      </c>
      <c r="AE44" s="252">
        <v>1</v>
      </c>
      <c r="AF44" s="252">
        <v>1</v>
      </c>
      <c r="AG44" s="19"/>
      <c r="AH44" s="252">
        <v>1</v>
      </c>
    </row>
    <row r="45" spans="1:34" ht="10.8" thickBot="1" x14ac:dyDescent="0.25">
      <c r="A45" s="339"/>
      <c r="B45" s="327"/>
      <c r="C45" s="327"/>
      <c r="D45" s="373"/>
      <c r="E45" s="252"/>
      <c r="F45" s="252"/>
      <c r="G45" s="252"/>
      <c r="H45" s="252"/>
      <c r="I45" s="251"/>
      <c r="J45" s="252"/>
      <c r="K45" s="252"/>
      <c r="L45" s="252"/>
      <c r="M45" s="252"/>
      <c r="N45" s="252"/>
      <c r="O45" s="19"/>
      <c r="P45" s="252"/>
      <c r="Q45" s="252"/>
      <c r="R45" s="252"/>
      <c r="S45" s="252"/>
      <c r="T45" s="252"/>
      <c r="U45" s="19"/>
      <c r="V45" s="29"/>
      <c r="W45" s="252"/>
      <c r="X45" s="252"/>
      <c r="Y45" s="252"/>
      <c r="Z45" s="252"/>
      <c r="AA45" s="19"/>
      <c r="AB45" s="252"/>
      <c r="AC45" s="252"/>
      <c r="AD45" s="252"/>
      <c r="AE45" s="252"/>
      <c r="AF45" s="252"/>
      <c r="AG45" s="19"/>
      <c r="AH45" s="252"/>
    </row>
    <row r="46" spans="1:34" x14ac:dyDescent="0.2">
      <c r="A46" s="339"/>
      <c r="B46" s="327" t="s">
        <v>0</v>
      </c>
      <c r="C46" s="327" t="s">
        <v>6</v>
      </c>
      <c r="D46" s="434"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9">
        <v>1</v>
      </c>
      <c r="W46" s="252">
        <v>1</v>
      </c>
      <c r="X46" s="252">
        <v>1</v>
      </c>
      <c r="Y46" s="252">
        <v>1</v>
      </c>
      <c r="Z46" s="252">
        <v>1</v>
      </c>
      <c r="AA46" s="19"/>
      <c r="AB46" s="252">
        <v>1</v>
      </c>
      <c r="AC46" s="252">
        <v>1</v>
      </c>
      <c r="AD46" s="252">
        <v>1</v>
      </c>
      <c r="AE46" s="252">
        <v>1</v>
      </c>
      <c r="AF46" s="252">
        <v>1</v>
      </c>
      <c r="AG46" s="19"/>
      <c r="AH46" s="252">
        <v>1</v>
      </c>
    </row>
    <row r="47" spans="1:34" ht="10.8" thickBot="1" x14ac:dyDescent="0.25">
      <c r="A47" s="339"/>
      <c r="B47" s="327"/>
      <c r="C47" s="327"/>
      <c r="D47" s="373"/>
      <c r="E47" s="252"/>
      <c r="F47" s="252"/>
      <c r="G47" s="252"/>
      <c r="H47" s="252"/>
      <c r="I47" s="251"/>
      <c r="J47" s="252"/>
      <c r="K47" s="252"/>
      <c r="L47" s="252"/>
      <c r="M47" s="252"/>
      <c r="N47" s="252"/>
      <c r="O47" s="19"/>
      <c r="P47" s="252"/>
      <c r="Q47" s="252"/>
      <c r="R47" s="252"/>
      <c r="S47" s="252"/>
      <c r="T47" s="252"/>
      <c r="U47" s="19"/>
      <c r="V47" s="29"/>
      <c r="W47" s="252"/>
      <c r="X47" s="252"/>
      <c r="Y47" s="252"/>
      <c r="Z47" s="252"/>
      <c r="AA47" s="19"/>
      <c r="AB47" s="252"/>
      <c r="AC47" s="252"/>
      <c r="AD47" s="252"/>
      <c r="AE47" s="252"/>
      <c r="AF47" s="252"/>
      <c r="AG47" s="19"/>
      <c r="AH47" s="252"/>
    </row>
    <row r="48" spans="1:34" x14ac:dyDescent="0.2">
      <c r="A48" s="339"/>
      <c r="B48" s="327"/>
      <c r="C48" s="327" t="s">
        <v>7</v>
      </c>
      <c r="D48" s="434"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9">
        <v>1</v>
      </c>
      <c r="W48" s="252">
        <v>1</v>
      </c>
      <c r="X48" s="252">
        <v>1</v>
      </c>
      <c r="Y48" s="252">
        <v>1</v>
      </c>
      <c r="Z48" s="252">
        <v>1</v>
      </c>
      <c r="AA48" s="19"/>
      <c r="AB48" s="252">
        <v>1</v>
      </c>
      <c r="AC48" s="252">
        <v>1</v>
      </c>
      <c r="AD48" s="252">
        <v>1</v>
      </c>
      <c r="AE48" s="252">
        <v>1</v>
      </c>
      <c r="AF48" s="252">
        <v>1</v>
      </c>
      <c r="AG48" s="19"/>
      <c r="AH48" s="252">
        <v>1</v>
      </c>
    </row>
    <row r="49" spans="1:34" ht="10.8" thickBot="1" x14ac:dyDescent="0.25">
      <c r="A49" s="339"/>
      <c r="B49" s="327"/>
      <c r="C49" s="327"/>
      <c r="D49" s="373"/>
      <c r="E49" s="252"/>
      <c r="F49" s="252"/>
      <c r="G49" s="252"/>
      <c r="H49" s="252"/>
      <c r="I49" s="251"/>
      <c r="J49" s="252"/>
      <c r="K49" s="252"/>
      <c r="L49" s="252"/>
      <c r="M49" s="252"/>
      <c r="N49" s="252"/>
      <c r="O49" s="19"/>
      <c r="P49" s="252"/>
      <c r="Q49" s="252"/>
      <c r="R49" s="252"/>
      <c r="S49" s="252"/>
      <c r="T49" s="252"/>
      <c r="U49" s="19"/>
      <c r="V49" s="29"/>
      <c r="W49" s="252"/>
      <c r="X49" s="252"/>
      <c r="Y49" s="252"/>
      <c r="Z49" s="252"/>
      <c r="AA49" s="19"/>
      <c r="AB49" s="252"/>
      <c r="AC49" s="252"/>
      <c r="AD49" s="252"/>
      <c r="AE49" s="252"/>
      <c r="AF49" s="252"/>
      <c r="AG49" s="19"/>
      <c r="AH49" s="252"/>
    </row>
    <row r="50" spans="1:34" x14ac:dyDescent="0.2">
      <c r="A50" s="339"/>
      <c r="B50" s="327"/>
      <c r="C50" s="327" t="s">
        <v>8</v>
      </c>
      <c r="D50" s="434"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9">
        <v>1</v>
      </c>
      <c r="W50" s="252">
        <v>1</v>
      </c>
      <c r="X50" s="252">
        <v>1</v>
      </c>
      <c r="Y50" s="252">
        <v>1</v>
      </c>
      <c r="Z50" s="252">
        <v>1</v>
      </c>
      <c r="AA50" s="19"/>
      <c r="AB50" s="252">
        <v>1</v>
      </c>
      <c r="AC50" s="252">
        <v>1</v>
      </c>
      <c r="AD50" s="252">
        <v>1</v>
      </c>
      <c r="AE50" s="252">
        <v>1</v>
      </c>
      <c r="AF50" s="252">
        <v>1</v>
      </c>
      <c r="AG50" s="19"/>
      <c r="AH50" s="252">
        <v>1</v>
      </c>
    </row>
    <row r="51" spans="1:34" ht="10.8" thickBot="1" x14ac:dyDescent="0.25">
      <c r="A51" s="339"/>
      <c r="B51" s="327"/>
      <c r="C51" s="327"/>
      <c r="D51" s="373"/>
      <c r="E51" s="252"/>
      <c r="F51" s="252"/>
      <c r="G51" s="252"/>
      <c r="H51" s="252"/>
      <c r="I51" s="251"/>
      <c r="J51" s="252"/>
      <c r="K51" s="252"/>
      <c r="L51" s="252"/>
      <c r="M51" s="252"/>
      <c r="N51" s="252"/>
      <c r="O51" s="19"/>
      <c r="P51" s="252"/>
      <c r="Q51" s="252"/>
      <c r="R51" s="252"/>
      <c r="S51" s="252"/>
      <c r="T51" s="252"/>
      <c r="U51" s="19"/>
      <c r="V51" s="29"/>
      <c r="W51" s="252"/>
      <c r="X51" s="252"/>
      <c r="Y51" s="252"/>
      <c r="Z51" s="252"/>
      <c r="AA51" s="19"/>
      <c r="AB51" s="252"/>
      <c r="AC51" s="252"/>
      <c r="AD51" s="252"/>
      <c r="AE51" s="252"/>
      <c r="AF51" s="252"/>
      <c r="AG51" s="19"/>
      <c r="AH51" s="252"/>
    </row>
    <row r="52" spans="1:34" x14ac:dyDescent="0.2">
      <c r="A52" s="339"/>
      <c r="B52" s="327" t="s">
        <v>40</v>
      </c>
      <c r="C52" s="331" t="s">
        <v>6</v>
      </c>
      <c r="D52" s="435"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9">
        <v>1</v>
      </c>
      <c r="W52" s="252">
        <v>1</v>
      </c>
      <c r="X52" s="252">
        <v>1</v>
      </c>
      <c r="Y52" s="252">
        <v>1</v>
      </c>
      <c r="Z52" s="252">
        <v>1</v>
      </c>
      <c r="AA52" s="19"/>
      <c r="AB52" s="252">
        <v>1</v>
      </c>
      <c r="AC52" s="252">
        <v>1</v>
      </c>
      <c r="AD52" s="252">
        <v>1</v>
      </c>
      <c r="AE52" s="252">
        <v>1</v>
      </c>
      <c r="AF52" s="252">
        <v>1</v>
      </c>
      <c r="AG52" s="19"/>
      <c r="AH52" s="252">
        <v>1</v>
      </c>
    </row>
    <row r="53" spans="1:34" ht="10.8" thickBot="1" x14ac:dyDescent="0.25">
      <c r="A53" s="339"/>
      <c r="B53" s="327"/>
      <c r="C53" s="331"/>
      <c r="D53" s="436"/>
      <c r="E53" s="252"/>
      <c r="F53" s="252"/>
      <c r="G53" s="252"/>
      <c r="H53" s="252"/>
      <c r="I53" s="251"/>
      <c r="J53" s="252"/>
      <c r="K53" s="252"/>
      <c r="L53" s="252"/>
      <c r="M53" s="252"/>
      <c r="N53" s="252"/>
      <c r="O53" s="19"/>
      <c r="P53" s="252"/>
      <c r="Q53" s="252"/>
      <c r="R53" s="252"/>
      <c r="S53" s="252"/>
      <c r="T53" s="252"/>
      <c r="U53" s="19"/>
      <c r="V53" s="29"/>
      <c r="W53" s="252"/>
      <c r="X53" s="252"/>
      <c r="Y53" s="252"/>
      <c r="Z53" s="252"/>
      <c r="AA53" s="19"/>
      <c r="AB53" s="252"/>
      <c r="AC53" s="252"/>
      <c r="AD53" s="252"/>
      <c r="AE53" s="252"/>
      <c r="AF53" s="252"/>
      <c r="AG53" s="19"/>
      <c r="AH53" s="252"/>
    </row>
    <row r="54" spans="1:34" x14ac:dyDescent="0.2">
      <c r="A54" s="339"/>
      <c r="B54" s="327"/>
      <c r="C54" s="331" t="s">
        <v>7</v>
      </c>
      <c r="D54" s="435"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9">
        <v>1</v>
      </c>
      <c r="W54" s="252">
        <v>1</v>
      </c>
      <c r="X54" s="252">
        <v>1</v>
      </c>
      <c r="Y54" s="252">
        <v>1</v>
      </c>
      <c r="Z54" s="252">
        <v>1</v>
      </c>
      <c r="AA54" s="19"/>
      <c r="AB54" s="252">
        <v>1</v>
      </c>
      <c r="AC54" s="252">
        <v>1</v>
      </c>
      <c r="AD54" s="252">
        <v>1</v>
      </c>
      <c r="AE54" s="252">
        <v>1</v>
      </c>
      <c r="AF54" s="252">
        <v>1</v>
      </c>
      <c r="AG54" s="19"/>
      <c r="AH54" s="252">
        <v>1</v>
      </c>
    </row>
    <row r="55" spans="1:34" ht="10.8" thickBot="1" x14ac:dyDescent="0.25">
      <c r="A55" s="339"/>
      <c r="B55" s="327"/>
      <c r="C55" s="331"/>
      <c r="D55" s="436"/>
      <c r="E55" s="252"/>
      <c r="F55" s="252"/>
      <c r="G55" s="252"/>
      <c r="H55" s="252"/>
      <c r="I55" s="251"/>
      <c r="J55" s="252"/>
      <c r="K55" s="252"/>
      <c r="L55" s="252"/>
      <c r="M55" s="252"/>
      <c r="N55" s="252"/>
      <c r="O55" s="19"/>
      <c r="P55" s="252"/>
      <c r="Q55" s="252"/>
      <c r="R55" s="252"/>
      <c r="S55" s="252"/>
      <c r="T55" s="252"/>
      <c r="U55" s="19"/>
      <c r="V55" s="29"/>
      <c r="W55" s="252"/>
      <c r="X55" s="252"/>
      <c r="Y55" s="252"/>
      <c r="Z55" s="252"/>
      <c r="AA55" s="19"/>
      <c r="AB55" s="252"/>
      <c r="AC55" s="252"/>
      <c r="AD55" s="252"/>
      <c r="AE55" s="252"/>
      <c r="AF55" s="252"/>
      <c r="AG55" s="19"/>
      <c r="AH55" s="252"/>
    </row>
    <row r="56" spans="1:34" x14ac:dyDescent="0.2">
      <c r="A56" s="339"/>
      <c r="B56" s="327"/>
      <c r="C56" s="331" t="s">
        <v>8</v>
      </c>
      <c r="D56" s="437"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9">
        <v>1</v>
      </c>
      <c r="W56" s="252">
        <v>1</v>
      </c>
      <c r="X56" s="252">
        <v>1</v>
      </c>
      <c r="Y56" s="252">
        <v>1</v>
      </c>
      <c r="Z56" s="252">
        <v>1</v>
      </c>
      <c r="AA56" s="19"/>
      <c r="AB56" s="252">
        <v>1</v>
      </c>
      <c r="AC56" s="252">
        <v>1</v>
      </c>
      <c r="AD56" s="252">
        <v>1</v>
      </c>
      <c r="AE56" s="252">
        <v>1</v>
      </c>
      <c r="AF56" s="252">
        <v>1</v>
      </c>
      <c r="AG56" s="19"/>
      <c r="AH56" s="252">
        <v>1</v>
      </c>
    </row>
    <row r="57" spans="1:34" ht="10.8" thickBot="1" x14ac:dyDescent="0.25">
      <c r="A57" s="339"/>
      <c r="B57" s="327"/>
      <c r="C57" s="331"/>
      <c r="D57" s="411"/>
      <c r="E57" s="252"/>
      <c r="F57" s="252"/>
      <c r="G57" s="252"/>
      <c r="H57" s="252"/>
      <c r="I57" s="251"/>
      <c r="J57" s="252"/>
      <c r="K57" s="252"/>
      <c r="L57" s="252"/>
      <c r="M57" s="252"/>
      <c r="N57" s="252"/>
      <c r="O57" s="19"/>
      <c r="P57" s="252"/>
      <c r="Q57" s="252"/>
      <c r="R57" s="252"/>
      <c r="S57" s="252"/>
      <c r="T57" s="252"/>
      <c r="U57" s="19"/>
      <c r="V57" s="29"/>
      <c r="W57" s="252"/>
      <c r="X57" s="252"/>
      <c r="Y57" s="252"/>
      <c r="Z57" s="252"/>
      <c r="AA57" s="19"/>
      <c r="AB57" s="252"/>
      <c r="AC57" s="252"/>
      <c r="AD57" s="252"/>
      <c r="AE57" s="252"/>
      <c r="AF57" s="252"/>
      <c r="AG57" s="19"/>
      <c r="AH57" s="252"/>
    </row>
    <row r="58" spans="1:34" ht="10.8" thickBot="1" x14ac:dyDescent="0.25">
      <c r="A58" s="17">
        <v>1.3</v>
      </c>
      <c r="B58" s="421" t="s">
        <v>13</v>
      </c>
      <c r="C58" s="422"/>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c r="AD58" s="326"/>
      <c r="AE58" s="326"/>
      <c r="AF58" s="326"/>
      <c r="AG58" s="326"/>
      <c r="AH58" s="420"/>
    </row>
    <row r="59" spans="1:34" x14ac:dyDescent="0.2">
      <c r="A59" s="339"/>
      <c r="B59" s="327" t="s">
        <v>77</v>
      </c>
      <c r="C59" s="327"/>
      <c r="D59" s="434" t="s">
        <v>78</v>
      </c>
      <c r="E59" s="252">
        <v>1</v>
      </c>
      <c r="F59" s="252">
        <v>1</v>
      </c>
      <c r="G59" s="252">
        <v>1</v>
      </c>
      <c r="H59" s="252">
        <v>1</v>
      </c>
      <c r="I59" s="251"/>
      <c r="J59" s="252">
        <v>1</v>
      </c>
      <c r="K59" s="252">
        <v>1</v>
      </c>
      <c r="L59" s="252">
        <v>1</v>
      </c>
      <c r="M59" s="252">
        <v>1</v>
      </c>
      <c r="N59" s="252">
        <v>1</v>
      </c>
      <c r="O59" s="19"/>
      <c r="P59" s="252">
        <v>1</v>
      </c>
      <c r="Q59" s="29">
        <v>1</v>
      </c>
      <c r="R59" s="29">
        <v>1</v>
      </c>
      <c r="S59" s="29">
        <v>1</v>
      </c>
      <c r="T59" s="29">
        <v>1</v>
      </c>
      <c r="U59" s="19"/>
      <c r="V59" s="29">
        <v>1</v>
      </c>
      <c r="W59" s="252">
        <v>1</v>
      </c>
      <c r="X59" s="252">
        <v>1</v>
      </c>
      <c r="Y59" s="252">
        <v>1</v>
      </c>
      <c r="Z59" s="252">
        <v>1</v>
      </c>
      <c r="AA59" s="19"/>
      <c r="AB59" s="252">
        <v>1</v>
      </c>
      <c r="AC59" s="252">
        <v>1</v>
      </c>
      <c r="AD59" s="252">
        <v>1</v>
      </c>
      <c r="AE59" s="252">
        <v>1</v>
      </c>
      <c r="AF59" s="252">
        <v>1</v>
      </c>
      <c r="AG59" s="19"/>
      <c r="AH59" s="252">
        <v>1</v>
      </c>
    </row>
    <row r="60" spans="1:34" ht="10.8" thickBot="1" x14ac:dyDescent="0.25">
      <c r="A60" s="339"/>
      <c r="B60" s="327"/>
      <c r="C60" s="327"/>
      <c r="D60" s="373"/>
      <c r="E60" s="252"/>
      <c r="F60" s="252"/>
      <c r="G60" s="252"/>
      <c r="H60" s="252"/>
      <c r="I60" s="251">
        <f>E60+F60+G60+H60</f>
        <v>0</v>
      </c>
      <c r="J60" s="252"/>
      <c r="K60" s="252"/>
      <c r="L60" s="252"/>
      <c r="M60" s="252"/>
      <c r="N60" s="252"/>
      <c r="O60" s="19"/>
      <c r="P60" s="252"/>
      <c r="Q60" s="29"/>
      <c r="R60" s="29"/>
      <c r="S60" s="29"/>
      <c r="T60" s="29"/>
      <c r="U60" s="19"/>
      <c r="V60" s="29"/>
      <c r="W60" s="252"/>
      <c r="X60" s="252"/>
      <c r="Y60" s="252"/>
      <c r="Z60" s="252"/>
      <c r="AA60" s="19"/>
      <c r="AB60" s="252"/>
      <c r="AC60" s="252"/>
      <c r="AD60" s="252"/>
      <c r="AE60" s="252"/>
      <c r="AF60" s="252"/>
      <c r="AG60" s="19"/>
      <c r="AH60" s="252"/>
    </row>
    <row r="61" spans="1:34" x14ac:dyDescent="0.2">
      <c r="A61" s="339"/>
      <c r="B61" s="327" t="s">
        <v>118</v>
      </c>
      <c r="C61" s="327"/>
      <c r="D61" s="435" t="s">
        <v>78</v>
      </c>
      <c r="E61" s="252">
        <v>1</v>
      </c>
      <c r="F61" s="252">
        <v>1</v>
      </c>
      <c r="G61" s="252">
        <v>1</v>
      </c>
      <c r="H61" s="252">
        <v>1</v>
      </c>
      <c r="I61" s="251"/>
      <c r="J61" s="252">
        <v>1</v>
      </c>
      <c r="K61" s="252">
        <v>1</v>
      </c>
      <c r="L61" s="252">
        <v>1</v>
      </c>
      <c r="M61" s="252">
        <v>1</v>
      </c>
      <c r="N61" s="252">
        <v>1</v>
      </c>
      <c r="O61" s="19"/>
      <c r="P61" s="252">
        <v>1</v>
      </c>
      <c r="Q61" s="29">
        <v>1</v>
      </c>
      <c r="R61" s="29">
        <v>1</v>
      </c>
      <c r="S61" s="29">
        <v>1</v>
      </c>
      <c r="T61" s="29">
        <v>1</v>
      </c>
      <c r="U61" s="19"/>
      <c r="V61" s="29">
        <v>1</v>
      </c>
      <c r="W61" s="252">
        <v>1</v>
      </c>
      <c r="X61" s="252">
        <v>1</v>
      </c>
      <c r="Y61" s="252">
        <v>1</v>
      </c>
      <c r="Z61" s="252">
        <v>1</v>
      </c>
      <c r="AA61" s="19"/>
      <c r="AB61" s="252">
        <v>1</v>
      </c>
      <c r="AC61" s="252">
        <v>1</v>
      </c>
      <c r="AD61" s="252">
        <v>1</v>
      </c>
      <c r="AE61" s="252">
        <v>1</v>
      </c>
      <c r="AF61" s="252">
        <v>1</v>
      </c>
      <c r="AG61" s="19"/>
      <c r="AH61" s="252">
        <v>1</v>
      </c>
    </row>
    <row r="62" spans="1:34" ht="29.25" customHeight="1" thickBot="1" x14ac:dyDescent="0.25">
      <c r="A62" s="339"/>
      <c r="B62" s="327"/>
      <c r="C62" s="327"/>
      <c r="D62" s="436"/>
      <c r="E62" s="252"/>
      <c r="F62" s="252"/>
      <c r="G62" s="252"/>
      <c r="H62" s="252"/>
      <c r="I62" s="251">
        <f>F62</f>
        <v>0</v>
      </c>
      <c r="J62" s="252"/>
      <c r="K62" s="252"/>
      <c r="L62" s="252"/>
      <c r="M62" s="252"/>
      <c r="N62" s="252"/>
      <c r="O62" s="19"/>
      <c r="P62" s="252"/>
      <c r="Q62" s="29"/>
      <c r="R62" s="29"/>
      <c r="S62" s="29"/>
      <c r="T62" s="29"/>
      <c r="U62" s="19"/>
      <c r="V62" s="29"/>
      <c r="W62" s="252"/>
      <c r="X62" s="252"/>
      <c r="Y62" s="252"/>
      <c r="Z62" s="252"/>
      <c r="AA62" s="19"/>
      <c r="AB62" s="252"/>
      <c r="AC62" s="252"/>
      <c r="AD62" s="252"/>
      <c r="AE62" s="252"/>
      <c r="AF62" s="252"/>
      <c r="AG62" s="19"/>
      <c r="AH62" s="252"/>
    </row>
    <row r="63" spans="1:34" ht="32.25" customHeight="1" x14ac:dyDescent="0.2">
      <c r="A63" s="339"/>
      <c r="B63" s="327" t="s">
        <v>120</v>
      </c>
      <c r="C63" s="327"/>
      <c r="D63" s="434"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5">
        <v>2.3E-3</v>
      </c>
      <c r="R63" s="255">
        <v>2.3E-3</v>
      </c>
      <c r="S63" s="255">
        <v>2.3E-3</v>
      </c>
      <c r="T63" s="255">
        <v>2.3E-3</v>
      </c>
      <c r="U63" s="19"/>
      <c r="V63" s="255">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6.25" customHeight="1" thickBot="1" x14ac:dyDescent="0.25">
      <c r="A64" s="339"/>
      <c r="B64" s="350"/>
      <c r="C64" s="350"/>
      <c r="D64" s="373"/>
      <c r="E64" s="251"/>
      <c r="F64" s="251"/>
      <c r="G64" s="251"/>
      <c r="H64" s="251"/>
      <c r="I64" s="19"/>
      <c r="J64" s="251"/>
      <c r="K64" s="254"/>
      <c r="L64" s="254"/>
      <c r="M64" s="254"/>
      <c r="N64" s="254"/>
      <c r="O64" s="19"/>
      <c r="P64" s="254"/>
      <c r="Q64" s="412"/>
      <c r="R64" s="412"/>
      <c r="S64" s="412"/>
      <c r="T64" s="412"/>
      <c r="U64" s="19"/>
      <c r="V64" s="412"/>
      <c r="W64" s="254"/>
      <c r="X64" s="254"/>
      <c r="Y64" s="254"/>
      <c r="Z64" s="254"/>
      <c r="AA64" s="19"/>
      <c r="AB64" s="254"/>
      <c r="AC64" s="251"/>
      <c r="AD64" s="251"/>
      <c r="AE64" s="251"/>
      <c r="AF64" s="251"/>
      <c r="AG64" s="19"/>
      <c r="AH64" s="251"/>
    </row>
    <row r="65" spans="1:34" x14ac:dyDescent="0.2">
      <c r="A65" s="339"/>
      <c r="B65" s="327" t="s">
        <v>14</v>
      </c>
      <c r="C65" s="327"/>
      <c r="D65" s="432"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ht="10.8" thickBot="1" x14ac:dyDescent="0.25">
      <c r="A66" s="339"/>
      <c r="B66" s="327"/>
      <c r="C66" s="327"/>
      <c r="D66" s="433"/>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339"/>
      <c r="B67" s="331" t="s">
        <v>111</v>
      </c>
      <c r="C67" s="331"/>
      <c r="D67" s="430" t="s">
        <v>78</v>
      </c>
      <c r="E67" s="252">
        <v>1</v>
      </c>
      <c r="F67" s="252">
        <v>1</v>
      </c>
      <c r="G67" s="252">
        <v>1</v>
      </c>
      <c r="H67" s="252">
        <v>1</v>
      </c>
      <c r="I67" s="19"/>
      <c r="J67" s="252">
        <v>1</v>
      </c>
      <c r="K67" s="252">
        <v>1</v>
      </c>
      <c r="L67" s="252">
        <v>1</v>
      </c>
      <c r="M67" s="252">
        <v>1</v>
      </c>
      <c r="N67" s="252">
        <v>1</v>
      </c>
      <c r="O67" s="19"/>
      <c r="P67" s="252">
        <v>1</v>
      </c>
      <c r="Q67" s="29">
        <v>1</v>
      </c>
      <c r="R67" s="29">
        <v>1</v>
      </c>
      <c r="S67" s="29">
        <v>1</v>
      </c>
      <c r="T67" s="29">
        <v>1</v>
      </c>
      <c r="U67" s="19"/>
      <c r="V67" s="29">
        <v>1</v>
      </c>
      <c r="W67" s="252">
        <v>1</v>
      </c>
      <c r="X67" s="252">
        <v>1</v>
      </c>
      <c r="Y67" s="252">
        <v>1</v>
      </c>
      <c r="Z67" s="252">
        <v>1</v>
      </c>
      <c r="AA67" s="19"/>
      <c r="AB67" s="252">
        <v>1</v>
      </c>
      <c r="AC67" s="252">
        <v>1</v>
      </c>
      <c r="AD67" s="252">
        <v>1</v>
      </c>
      <c r="AE67" s="252">
        <v>1</v>
      </c>
      <c r="AF67" s="252">
        <v>1</v>
      </c>
      <c r="AG67" s="19"/>
      <c r="AH67" s="252">
        <v>1</v>
      </c>
    </row>
    <row r="68" spans="1:34" ht="10.8" thickBot="1" x14ac:dyDescent="0.25">
      <c r="A68" s="339"/>
      <c r="B68" s="331"/>
      <c r="C68" s="331"/>
      <c r="D68" s="431"/>
      <c r="E68" s="252"/>
      <c r="F68" s="252"/>
      <c r="G68" s="252"/>
      <c r="H68" s="252"/>
      <c r="I68" s="19"/>
      <c r="J68" s="252"/>
      <c r="K68" s="252"/>
      <c r="L68" s="252"/>
      <c r="M68" s="252"/>
      <c r="N68" s="252"/>
      <c r="O68" s="19"/>
      <c r="P68" s="252"/>
      <c r="Q68" s="29"/>
      <c r="R68" s="29"/>
      <c r="S68" s="29"/>
      <c r="T68" s="29"/>
      <c r="U68" s="19"/>
      <c r="V68" s="29"/>
      <c r="W68" s="252"/>
      <c r="X68" s="252"/>
      <c r="Y68" s="252"/>
      <c r="Z68" s="252"/>
      <c r="AA68" s="19"/>
      <c r="AB68" s="252"/>
      <c r="AC68" s="252"/>
      <c r="AD68" s="252"/>
      <c r="AE68" s="252"/>
      <c r="AF68" s="252"/>
      <c r="AG68" s="19"/>
      <c r="AH68" s="252"/>
    </row>
    <row r="69" spans="1:34" x14ac:dyDescent="0.2">
      <c r="A69" s="339"/>
      <c r="B69" s="327" t="s">
        <v>15</v>
      </c>
      <c r="C69" s="327"/>
      <c r="D69" s="430"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7">
        <v>6.7999999999999996E-3</v>
      </c>
      <c r="R69" s="27">
        <v>6.7999999999999996E-3</v>
      </c>
      <c r="S69" s="27">
        <v>6.7999999999999996E-3</v>
      </c>
      <c r="T69" s="27">
        <v>6.7999999999999996E-3</v>
      </c>
      <c r="U69" s="19"/>
      <c r="V69" s="27">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ht="10.8" thickBot="1" x14ac:dyDescent="0.25">
      <c r="A70" s="339"/>
      <c r="B70" s="327"/>
      <c r="C70" s="327"/>
      <c r="D70" s="431"/>
      <c r="E70" s="251"/>
      <c r="F70" s="251"/>
      <c r="G70" s="251"/>
      <c r="H70" s="251"/>
      <c r="I70" s="19"/>
      <c r="J70" s="251"/>
      <c r="K70" s="251"/>
      <c r="L70" s="251"/>
      <c r="M70" s="251"/>
      <c r="N70" s="251"/>
      <c r="O70" s="19"/>
      <c r="P70" s="251"/>
      <c r="Q70" s="19"/>
      <c r="R70" s="19"/>
      <c r="S70" s="19"/>
      <c r="T70" s="19"/>
      <c r="U70" s="19"/>
      <c r="V70" s="19"/>
      <c r="W70" s="251"/>
      <c r="X70" s="251"/>
      <c r="Y70" s="251"/>
      <c r="Z70" s="251"/>
      <c r="AA70" s="19"/>
      <c r="AB70" s="251"/>
      <c r="AC70" s="251"/>
      <c r="AD70" s="251"/>
      <c r="AE70" s="251"/>
      <c r="AF70" s="251"/>
      <c r="AG70" s="19"/>
      <c r="AH70" s="251"/>
    </row>
    <row r="71" spans="1:34" ht="40.799999999999997" x14ac:dyDescent="0.2">
      <c r="A71" s="306"/>
      <c r="B71" s="287" t="s">
        <v>124</v>
      </c>
      <c r="C71" s="287"/>
      <c r="D71" s="428" t="s">
        <v>94</v>
      </c>
      <c r="E71" s="259" t="s">
        <v>125</v>
      </c>
      <c r="F71" s="259" t="s">
        <v>125</v>
      </c>
      <c r="G71" s="259" t="s">
        <v>125</v>
      </c>
      <c r="H71" s="259" t="s">
        <v>125</v>
      </c>
      <c r="I71" s="19"/>
      <c r="J71" s="259" t="s">
        <v>125</v>
      </c>
      <c r="K71" s="259" t="s">
        <v>125</v>
      </c>
      <c r="L71" s="259" t="s">
        <v>125</v>
      </c>
      <c r="M71" s="259" t="s">
        <v>125</v>
      </c>
      <c r="N71" s="259" t="s">
        <v>125</v>
      </c>
      <c r="O71" s="19"/>
      <c r="P71" s="259" t="s">
        <v>125</v>
      </c>
      <c r="Q71" s="20" t="s">
        <v>125</v>
      </c>
      <c r="R71" s="20" t="s">
        <v>125</v>
      </c>
      <c r="S71" s="20" t="s">
        <v>125</v>
      </c>
      <c r="T71" s="20" t="s">
        <v>125</v>
      </c>
      <c r="U71" s="19"/>
      <c r="V71" s="20"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ht="10.8" thickBot="1" x14ac:dyDescent="0.25">
      <c r="A72" s="306"/>
      <c r="B72" s="287"/>
      <c r="C72" s="287"/>
      <c r="D72" s="429"/>
      <c r="E72" s="313"/>
      <c r="F72" s="313"/>
      <c r="G72" s="313"/>
      <c r="H72" s="313"/>
      <c r="I72" s="19"/>
      <c r="J72" s="313"/>
      <c r="K72" s="313"/>
      <c r="L72" s="313"/>
      <c r="M72" s="313"/>
      <c r="N72" s="313"/>
      <c r="O72" s="19"/>
      <c r="P72" s="313"/>
      <c r="Q72" s="23"/>
      <c r="R72" s="68"/>
      <c r="S72" s="68"/>
      <c r="T72" s="68"/>
      <c r="U72" s="19"/>
      <c r="V72" s="67"/>
      <c r="W72" s="313"/>
      <c r="X72" s="313"/>
      <c r="Y72" s="313"/>
      <c r="Z72" s="313"/>
      <c r="AA72" s="19"/>
      <c r="AB72" s="313"/>
      <c r="AC72" s="313"/>
      <c r="AD72" s="313"/>
      <c r="AE72" s="313"/>
      <c r="AF72" s="313"/>
      <c r="AG72" s="19"/>
      <c r="AH72" s="313"/>
    </row>
    <row r="73" spans="1:34" ht="10.8" thickBot="1" x14ac:dyDescent="0.25">
      <c r="A73" s="65">
        <v>1.4</v>
      </c>
      <c r="B73" s="421" t="s">
        <v>16</v>
      </c>
      <c r="C73" s="422"/>
      <c r="D73" s="326"/>
      <c r="E73" s="326"/>
      <c r="F73" s="326"/>
      <c r="G73" s="326"/>
      <c r="H73" s="326"/>
      <c r="I73" s="326"/>
      <c r="J73" s="326"/>
      <c r="K73" s="326"/>
      <c r="L73" s="326"/>
      <c r="M73" s="326"/>
      <c r="N73" s="326"/>
      <c r="O73" s="326"/>
      <c r="P73" s="326"/>
      <c r="Q73" s="326"/>
      <c r="R73" s="326"/>
      <c r="S73" s="326"/>
      <c r="T73" s="326"/>
      <c r="U73" s="326"/>
      <c r="V73" s="326"/>
      <c r="W73" s="326"/>
      <c r="X73" s="326"/>
      <c r="Y73" s="326"/>
      <c r="Z73" s="326"/>
      <c r="AA73" s="326"/>
      <c r="AB73" s="326"/>
      <c r="AC73" s="326"/>
      <c r="AD73" s="326"/>
      <c r="AE73" s="326"/>
      <c r="AF73" s="326"/>
      <c r="AG73" s="326"/>
      <c r="AH73" s="420"/>
    </row>
    <row r="74" spans="1:34" x14ac:dyDescent="0.2">
      <c r="A74" s="339"/>
      <c r="B74" s="327" t="s">
        <v>17</v>
      </c>
      <c r="C74" s="327"/>
      <c r="D74" s="426"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7">
        <v>9.5999999999999992E-3</v>
      </c>
      <c r="R74" s="27">
        <v>9.5999999999999992E-3</v>
      </c>
      <c r="S74" s="27">
        <v>9.5999999999999992E-3</v>
      </c>
      <c r="T74" s="27">
        <v>9.5999999999999992E-3</v>
      </c>
      <c r="U74" s="27"/>
      <c r="V74" s="27">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ht="26.4" customHeight="1" thickBot="1" x14ac:dyDescent="0.25">
      <c r="A75" s="339"/>
      <c r="B75" s="327"/>
      <c r="C75" s="327"/>
      <c r="D75" s="427"/>
      <c r="E75" s="254"/>
      <c r="F75" s="254"/>
      <c r="G75" s="254"/>
      <c r="H75" s="254"/>
      <c r="I75" s="19"/>
      <c r="J75" s="254"/>
      <c r="K75" s="254"/>
      <c r="L75" s="254"/>
      <c r="M75" s="254"/>
      <c r="N75" s="254"/>
      <c r="O75" s="27"/>
      <c r="P75" s="254"/>
      <c r="Q75" s="27"/>
      <c r="R75" s="27"/>
      <c r="S75" s="27"/>
      <c r="T75" s="27"/>
      <c r="U75" s="27"/>
      <c r="V75" s="27"/>
      <c r="W75" s="254"/>
      <c r="X75" s="254"/>
      <c r="Y75" s="254"/>
      <c r="Z75" s="254"/>
      <c r="AA75" s="27"/>
      <c r="AB75" s="254"/>
      <c r="AC75" s="254"/>
      <c r="AD75" s="254"/>
      <c r="AE75" s="254"/>
      <c r="AF75" s="254"/>
      <c r="AG75" s="27"/>
      <c r="AH75" s="254"/>
    </row>
    <row r="76" spans="1:34" ht="28.2" customHeight="1" thickBot="1" x14ac:dyDescent="0.25">
      <c r="A76" s="339"/>
      <c r="B76" s="335" t="s">
        <v>82</v>
      </c>
      <c r="C76" s="335"/>
      <c r="D76" s="145"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ht="27.6" customHeight="1" thickBot="1" x14ac:dyDescent="0.25">
      <c r="A77" s="339"/>
      <c r="B77" s="335" t="s">
        <v>83</v>
      </c>
      <c r="C77" s="335"/>
      <c r="D77" s="145"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339"/>
      <c r="B78" s="327" t="s">
        <v>18</v>
      </c>
      <c r="C78" s="327"/>
      <c r="D78" s="416" t="s">
        <v>78</v>
      </c>
      <c r="E78" s="252">
        <v>0.85</v>
      </c>
      <c r="F78" s="252">
        <v>0.85</v>
      </c>
      <c r="G78" s="252">
        <v>0.85</v>
      </c>
      <c r="H78" s="252">
        <v>0.85</v>
      </c>
      <c r="I78" s="19"/>
      <c r="J78" s="252">
        <v>0.85</v>
      </c>
      <c r="K78" s="252">
        <v>0.85</v>
      </c>
      <c r="L78" s="252">
        <v>0.85</v>
      </c>
      <c r="M78" s="252">
        <v>0.85</v>
      </c>
      <c r="N78" s="252">
        <v>0.85</v>
      </c>
      <c r="O78" s="19"/>
      <c r="P78" s="252">
        <v>0.85</v>
      </c>
      <c r="Q78" s="29">
        <v>0.85</v>
      </c>
      <c r="R78" s="29">
        <v>0.85</v>
      </c>
      <c r="S78" s="29">
        <v>0.85</v>
      </c>
      <c r="T78" s="29">
        <v>0.85</v>
      </c>
      <c r="U78" s="19"/>
      <c r="V78" s="29">
        <v>0.85</v>
      </c>
      <c r="W78" s="252">
        <v>0.85</v>
      </c>
      <c r="X78" s="252">
        <v>0.85</v>
      </c>
      <c r="Y78" s="252">
        <v>0.85</v>
      </c>
      <c r="Z78" s="252">
        <v>0.85</v>
      </c>
      <c r="AA78" s="19"/>
      <c r="AB78" s="252">
        <v>0.85</v>
      </c>
      <c r="AC78" s="252">
        <v>0.85</v>
      </c>
      <c r="AD78" s="252">
        <v>0.85</v>
      </c>
      <c r="AE78" s="252">
        <v>0.85</v>
      </c>
      <c r="AF78" s="252">
        <v>0.85</v>
      </c>
      <c r="AG78" s="19"/>
      <c r="AH78" s="252">
        <v>0.85</v>
      </c>
    </row>
    <row r="79" spans="1:34" ht="34.200000000000003" customHeight="1" thickBot="1" x14ac:dyDescent="0.25">
      <c r="A79" s="339"/>
      <c r="B79" s="327"/>
      <c r="C79" s="327"/>
      <c r="D79" s="417"/>
      <c r="E79" s="252"/>
      <c r="F79" s="252"/>
      <c r="G79" s="252"/>
      <c r="H79" s="252"/>
      <c r="I79" s="19"/>
      <c r="J79" s="252"/>
      <c r="K79" s="252"/>
      <c r="L79" s="252"/>
      <c r="M79" s="252"/>
      <c r="N79" s="252"/>
      <c r="O79" s="19"/>
      <c r="P79" s="252"/>
      <c r="Q79" s="29"/>
      <c r="R79" s="29"/>
      <c r="S79" s="29"/>
      <c r="T79" s="29"/>
      <c r="U79" s="19"/>
      <c r="V79" s="29"/>
      <c r="W79" s="252"/>
      <c r="X79" s="252"/>
      <c r="Y79" s="252"/>
      <c r="Z79" s="252"/>
      <c r="AA79" s="19"/>
      <c r="AB79" s="252"/>
      <c r="AC79" s="252"/>
      <c r="AD79" s="252"/>
      <c r="AE79" s="252"/>
      <c r="AF79" s="252"/>
      <c r="AG79" s="19"/>
      <c r="AH79" s="252"/>
    </row>
    <row r="80" spans="1:34" x14ac:dyDescent="0.2">
      <c r="A80" s="65">
        <v>1.5</v>
      </c>
      <c r="B80" s="337" t="s">
        <v>19</v>
      </c>
      <c r="C80" s="337"/>
      <c r="D80" s="304"/>
      <c r="E80" s="304"/>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row>
    <row r="81" spans="1:34" ht="10.8" thickBot="1" x14ac:dyDescent="0.25">
      <c r="A81" s="72" t="s">
        <v>41</v>
      </c>
      <c r="B81" s="319" t="s">
        <v>20</v>
      </c>
      <c r="C81" s="320"/>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2"/>
    </row>
    <row r="82" spans="1:34" ht="46.8" customHeight="1" thickBot="1" x14ac:dyDescent="0.25">
      <c r="A82" s="339"/>
      <c r="B82" s="73" t="s">
        <v>95</v>
      </c>
      <c r="C82" s="74"/>
      <c r="D82" s="146" t="s">
        <v>135</v>
      </c>
      <c r="E82" s="35">
        <v>13</v>
      </c>
      <c r="F82" s="35">
        <v>13</v>
      </c>
      <c r="G82" s="35">
        <v>13</v>
      </c>
      <c r="H82" s="35">
        <v>13</v>
      </c>
      <c r="I82" s="35"/>
      <c r="J82" s="35">
        <v>52</v>
      </c>
      <c r="K82" s="161">
        <v>13</v>
      </c>
      <c r="L82" s="161">
        <v>13</v>
      </c>
      <c r="M82" s="161">
        <v>13</v>
      </c>
      <c r="N82" s="161">
        <v>13</v>
      </c>
      <c r="O82" s="161"/>
      <c r="P82" s="35">
        <v>52</v>
      </c>
      <c r="Q82" s="161">
        <v>13</v>
      </c>
      <c r="R82" s="161">
        <v>13</v>
      </c>
      <c r="S82" s="161">
        <v>13</v>
      </c>
      <c r="T82" s="161">
        <v>13</v>
      </c>
      <c r="U82" s="35"/>
      <c r="V82" s="35">
        <v>52</v>
      </c>
      <c r="W82" s="161">
        <v>13</v>
      </c>
      <c r="X82" s="161">
        <v>13</v>
      </c>
      <c r="Y82" s="161">
        <v>13</v>
      </c>
      <c r="Z82" s="161">
        <v>13</v>
      </c>
      <c r="AA82" s="161"/>
      <c r="AB82" s="35">
        <v>52</v>
      </c>
      <c r="AC82" s="161">
        <v>13</v>
      </c>
      <c r="AD82" s="161">
        <v>13</v>
      </c>
      <c r="AE82" s="161">
        <v>13</v>
      </c>
      <c r="AF82" s="161">
        <v>13</v>
      </c>
      <c r="AG82" s="35"/>
      <c r="AH82" s="35">
        <v>52</v>
      </c>
    </row>
    <row r="83" spans="1:34" ht="15.75" customHeight="1" x14ac:dyDescent="0.2">
      <c r="A83" s="339"/>
      <c r="B83" s="327" t="s">
        <v>84</v>
      </c>
      <c r="C83" s="315" t="s">
        <v>6</v>
      </c>
      <c r="D83" s="416" t="s">
        <v>78</v>
      </c>
      <c r="E83" s="252">
        <v>0.5</v>
      </c>
      <c r="F83" s="252">
        <v>0.5</v>
      </c>
      <c r="G83" s="252">
        <v>0.5</v>
      </c>
      <c r="H83" s="252">
        <v>0.5</v>
      </c>
      <c r="I83" s="252">
        <v>0.5</v>
      </c>
      <c r="J83" s="252">
        <v>0.5</v>
      </c>
      <c r="K83" s="252">
        <v>0.49</v>
      </c>
      <c r="L83" s="252">
        <v>0.49</v>
      </c>
      <c r="M83" s="252">
        <v>0.49</v>
      </c>
      <c r="N83" s="252">
        <v>0.49</v>
      </c>
      <c r="O83" s="26"/>
      <c r="P83" s="252">
        <v>0.49</v>
      </c>
      <c r="Q83" s="246">
        <v>0.48</v>
      </c>
      <c r="R83" s="246">
        <v>0.48</v>
      </c>
      <c r="S83" s="246">
        <v>0.48</v>
      </c>
      <c r="T83" s="246">
        <v>0.48</v>
      </c>
      <c r="U83" s="26"/>
      <c r="V83" s="246">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thickBot="1" x14ac:dyDescent="0.25">
      <c r="A84" s="339"/>
      <c r="B84" s="327"/>
      <c r="C84" s="315"/>
      <c r="D84" s="417"/>
      <c r="E84" s="252"/>
      <c r="F84" s="252"/>
      <c r="G84" s="252"/>
      <c r="H84" s="252"/>
      <c r="I84" s="252"/>
      <c r="J84" s="252"/>
      <c r="K84" s="252"/>
      <c r="L84" s="252"/>
      <c r="M84" s="252"/>
      <c r="N84" s="252"/>
      <c r="O84" s="26"/>
      <c r="P84" s="252"/>
      <c r="Q84" s="256"/>
      <c r="R84" s="256"/>
      <c r="S84" s="256"/>
      <c r="T84" s="256"/>
      <c r="U84" s="26"/>
      <c r="V84" s="256"/>
      <c r="W84" s="252"/>
      <c r="X84" s="252"/>
      <c r="Y84" s="252"/>
      <c r="Z84" s="252"/>
      <c r="AA84" s="24"/>
      <c r="AB84" s="252"/>
      <c r="AC84" s="252"/>
      <c r="AD84" s="252"/>
      <c r="AE84" s="252"/>
      <c r="AF84" s="252"/>
      <c r="AG84" s="26"/>
      <c r="AH84" s="252"/>
    </row>
    <row r="85" spans="1:34" x14ac:dyDescent="0.2">
      <c r="A85" s="339"/>
      <c r="B85" s="327"/>
      <c r="C85" s="315" t="s">
        <v>7</v>
      </c>
      <c r="D85" s="416" t="s">
        <v>78</v>
      </c>
      <c r="E85" s="252">
        <v>0.25</v>
      </c>
      <c r="F85" s="252">
        <v>0.25</v>
      </c>
      <c r="G85" s="252">
        <v>0.25</v>
      </c>
      <c r="H85" s="252">
        <v>0.25</v>
      </c>
      <c r="I85" s="252">
        <v>0.25</v>
      </c>
      <c r="J85" s="252">
        <v>0.25</v>
      </c>
      <c r="K85" s="252">
        <v>0.24</v>
      </c>
      <c r="L85" s="252">
        <v>0.24</v>
      </c>
      <c r="M85" s="252">
        <v>0.24</v>
      </c>
      <c r="N85" s="252">
        <v>0.24</v>
      </c>
      <c r="O85" s="26"/>
      <c r="P85" s="252">
        <v>0.24</v>
      </c>
      <c r="Q85" s="246">
        <v>0.23</v>
      </c>
      <c r="R85" s="246">
        <v>0.23</v>
      </c>
      <c r="S85" s="246">
        <v>0.23</v>
      </c>
      <c r="T85" s="246">
        <v>0.23</v>
      </c>
      <c r="U85" s="26"/>
      <c r="V85" s="246">
        <v>0.23</v>
      </c>
      <c r="W85" s="252">
        <v>0.22</v>
      </c>
      <c r="X85" s="252">
        <v>0.22</v>
      </c>
      <c r="Y85" s="252">
        <v>0.22</v>
      </c>
      <c r="Z85" s="252">
        <v>0.22</v>
      </c>
      <c r="AA85" s="24"/>
      <c r="AB85" s="252">
        <v>0.22</v>
      </c>
      <c r="AC85" s="252">
        <v>0.2</v>
      </c>
      <c r="AD85" s="252">
        <v>0.2</v>
      </c>
      <c r="AE85" s="252">
        <v>0.2</v>
      </c>
      <c r="AF85" s="252">
        <v>0.2</v>
      </c>
      <c r="AG85" s="26"/>
      <c r="AH85" s="252">
        <v>0.2</v>
      </c>
    </row>
    <row r="86" spans="1:34" ht="10.8" thickBot="1" x14ac:dyDescent="0.25">
      <c r="A86" s="339"/>
      <c r="B86" s="327"/>
      <c r="C86" s="315"/>
      <c r="D86" s="417"/>
      <c r="E86" s="252"/>
      <c r="F86" s="252"/>
      <c r="G86" s="252"/>
      <c r="H86" s="252"/>
      <c r="I86" s="252"/>
      <c r="J86" s="252"/>
      <c r="K86" s="252"/>
      <c r="L86" s="252"/>
      <c r="M86" s="252"/>
      <c r="N86" s="252"/>
      <c r="O86" s="26"/>
      <c r="P86" s="252"/>
      <c r="Q86" s="256"/>
      <c r="R86" s="256"/>
      <c r="S86" s="256"/>
      <c r="T86" s="256"/>
      <c r="U86" s="26"/>
      <c r="V86" s="256"/>
      <c r="W86" s="252"/>
      <c r="X86" s="252"/>
      <c r="Y86" s="252"/>
      <c r="Z86" s="252"/>
      <c r="AA86" s="24"/>
      <c r="AB86" s="252"/>
      <c r="AC86" s="252"/>
      <c r="AD86" s="252"/>
      <c r="AE86" s="252"/>
      <c r="AF86" s="252"/>
      <c r="AG86" s="26"/>
      <c r="AH86" s="252"/>
    </row>
    <row r="87" spans="1:34" x14ac:dyDescent="0.2">
      <c r="A87" s="339"/>
      <c r="B87" s="327"/>
      <c r="C87" s="315" t="s">
        <v>8</v>
      </c>
      <c r="D87" s="416" t="s">
        <v>78</v>
      </c>
      <c r="E87" s="252">
        <v>0.3</v>
      </c>
      <c r="F87" s="252">
        <v>0.3</v>
      </c>
      <c r="G87" s="252">
        <v>0.3</v>
      </c>
      <c r="H87" s="252">
        <v>0.3</v>
      </c>
      <c r="I87" s="252">
        <v>0.3</v>
      </c>
      <c r="J87" s="252">
        <v>0.3</v>
      </c>
      <c r="K87" s="252">
        <v>0.28999999999999998</v>
      </c>
      <c r="L87" s="252">
        <v>0.28999999999999998</v>
      </c>
      <c r="M87" s="252">
        <v>0.28999999999999998</v>
      </c>
      <c r="N87" s="252">
        <v>0.28999999999999998</v>
      </c>
      <c r="O87" s="26"/>
      <c r="P87" s="252">
        <v>0.28999999999999998</v>
      </c>
      <c r="Q87" s="246">
        <v>0.28000000000000003</v>
      </c>
      <c r="R87" s="246">
        <v>0.28000000000000003</v>
      </c>
      <c r="S87" s="246">
        <v>0.28000000000000003</v>
      </c>
      <c r="T87" s="246">
        <v>0.28000000000000003</v>
      </c>
      <c r="U87" s="26"/>
      <c r="V87" s="246">
        <v>0.28000000000000003</v>
      </c>
      <c r="W87" s="252">
        <v>0.27</v>
      </c>
      <c r="X87" s="252">
        <v>0.27</v>
      </c>
      <c r="Y87" s="252">
        <v>0.27</v>
      </c>
      <c r="Z87" s="252">
        <v>0.27</v>
      </c>
      <c r="AA87" s="24"/>
      <c r="AB87" s="252">
        <v>0.27</v>
      </c>
      <c r="AC87" s="252">
        <v>0.25</v>
      </c>
      <c r="AD87" s="252">
        <v>0.25</v>
      </c>
      <c r="AE87" s="252">
        <v>0.25</v>
      </c>
      <c r="AF87" s="252">
        <v>0.25</v>
      </c>
      <c r="AG87" s="26"/>
      <c r="AH87" s="252">
        <v>0.25</v>
      </c>
    </row>
    <row r="88" spans="1:34" ht="10.8" thickBot="1" x14ac:dyDescent="0.25">
      <c r="A88" s="339"/>
      <c r="B88" s="327"/>
      <c r="C88" s="315"/>
      <c r="D88" s="417"/>
      <c r="E88" s="252"/>
      <c r="F88" s="252"/>
      <c r="G88" s="252"/>
      <c r="H88" s="252"/>
      <c r="I88" s="252"/>
      <c r="J88" s="252"/>
      <c r="K88" s="252"/>
      <c r="L88" s="252"/>
      <c r="M88" s="252"/>
      <c r="N88" s="252"/>
      <c r="O88" s="26"/>
      <c r="P88" s="252"/>
      <c r="Q88" s="256"/>
      <c r="R88" s="256"/>
      <c r="S88" s="256"/>
      <c r="T88" s="256"/>
      <c r="U88" s="26"/>
      <c r="V88" s="256"/>
      <c r="W88" s="252"/>
      <c r="X88" s="252"/>
      <c r="Y88" s="252"/>
      <c r="Z88" s="252"/>
      <c r="AA88" s="24"/>
      <c r="AB88" s="252"/>
      <c r="AC88" s="252"/>
      <c r="AD88" s="252"/>
      <c r="AE88" s="252"/>
      <c r="AF88" s="252"/>
      <c r="AG88" s="26"/>
      <c r="AH88" s="252"/>
    </row>
    <row r="89" spans="1:34" x14ac:dyDescent="0.2">
      <c r="A89" s="339"/>
      <c r="B89" s="327" t="s">
        <v>96</v>
      </c>
      <c r="C89" s="315" t="s">
        <v>6</v>
      </c>
      <c r="D89" s="416" t="s">
        <v>78</v>
      </c>
      <c r="E89" s="252">
        <v>0.25</v>
      </c>
      <c r="F89" s="252">
        <v>0.25</v>
      </c>
      <c r="G89" s="252">
        <v>0.25</v>
      </c>
      <c r="H89" s="252">
        <v>0.25</v>
      </c>
      <c r="I89" s="252">
        <v>0.25</v>
      </c>
      <c r="J89" s="252">
        <v>0.25</v>
      </c>
      <c r="K89" s="252">
        <v>0.24</v>
      </c>
      <c r="L89" s="252">
        <v>0.24</v>
      </c>
      <c r="M89" s="252">
        <v>0.24</v>
      </c>
      <c r="N89" s="252">
        <v>0.24</v>
      </c>
      <c r="O89" s="26"/>
      <c r="P89" s="252">
        <v>0.24</v>
      </c>
      <c r="Q89" s="246">
        <v>0.23</v>
      </c>
      <c r="R89" s="246">
        <v>0.23</v>
      </c>
      <c r="S89" s="246">
        <v>0.23</v>
      </c>
      <c r="T89" s="246">
        <v>0.23</v>
      </c>
      <c r="U89" s="26"/>
      <c r="V89" s="246">
        <v>0.23</v>
      </c>
      <c r="W89" s="252">
        <v>0.22</v>
      </c>
      <c r="X89" s="252">
        <v>0.22</v>
      </c>
      <c r="Y89" s="252">
        <v>0.22</v>
      </c>
      <c r="Z89" s="252">
        <v>0.22</v>
      </c>
      <c r="AA89" s="24"/>
      <c r="AB89" s="252">
        <v>0.22</v>
      </c>
      <c r="AC89" s="252">
        <v>0.2</v>
      </c>
      <c r="AD89" s="252">
        <v>0.2</v>
      </c>
      <c r="AE89" s="252">
        <v>0.2</v>
      </c>
      <c r="AF89" s="252">
        <v>0.2</v>
      </c>
      <c r="AG89" s="26"/>
      <c r="AH89" s="252">
        <v>0.2</v>
      </c>
    </row>
    <row r="90" spans="1:34" ht="10.8" thickBot="1" x14ac:dyDescent="0.25">
      <c r="A90" s="339"/>
      <c r="B90" s="329"/>
      <c r="C90" s="306"/>
      <c r="D90" s="417"/>
      <c r="E90" s="252"/>
      <c r="F90" s="252"/>
      <c r="G90" s="252"/>
      <c r="H90" s="252"/>
      <c r="I90" s="252"/>
      <c r="J90" s="252"/>
      <c r="K90" s="252"/>
      <c r="L90" s="252"/>
      <c r="M90" s="252"/>
      <c r="N90" s="252"/>
      <c r="O90" s="26"/>
      <c r="P90" s="252"/>
      <c r="Q90" s="256"/>
      <c r="R90" s="256"/>
      <c r="S90" s="256"/>
      <c r="T90" s="256"/>
      <c r="U90" s="26"/>
      <c r="V90" s="256"/>
      <c r="W90" s="252"/>
      <c r="X90" s="252"/>
      <c r="Y90" s="252"/>
      <c r="Z90" s="252"/>
      <c r="AA90" s="24"/>
      <c r="AB90" s="252"/>
      <c r="AC90" s="252"/>
      <c r="AD90" s="252"/>
      <c r="AE90" s="252"/>
      <c r="AF90" s="252"/>
      <c r="AG90" s="26"/>
      <c r="AH90" s="252"/>
    </row>
    <row r="91" spans="1:34" x14ac:dyDescent="0.2">
      <c r="A91" s="339"/>
      <c r="B91" s="329"/>
      <c r="C91" s="315" t="s">
        <v>7</v>
      </c>
      <c r="D91" s="416" t="s">
        <v>78</v>
      </c>
      <c r="E91" s="252">
        <v>0.25</v>
      </c>
      <c r="F91" s="252">
        <v>0.25</v>
      </c>
      <c r="G91" s="252">
        <v>0.25</v>
      </c>
      <c r="H91" s="252">
        <v>0.25</v>
      </c>
      <c r="I91" s="252">
        <v>0.25</v>
      </c>
      <c r="J91" s="252">
        <v>0.25</v>
      </c>
      <c r="K91" s="252">
        <v>0.24</v>
      </c>
      <c r="L91" s="252">
        <v>0.24</v>
      </c>
      <c r="M91" s="252">
        <v>0.24</v>
      </c>
      <c r="N91" s="252">
        <v>0.24</v>
      </c>
      <c r="O91" s="26"/>
      <c r="P91" s="252">
        <v>0.24</v>
      </c>
      <c r="Q91" s="246">
        <v>0.23</v>
      </c>
      <c r="R91" s="246">
        <v>0.23</v>
      </c>
      <c r="S91" s="246">
        <v>0.23</v>
      </c>
      <c r="T91" s="246">
        <v>0.23</v>
      </c>
      <c r="U91" s="26"/>
      <c r="V91" s="246">
        <v>0.23</v>
      </c>
      <c r="W91" s="252">
        <v>0.22</v>
      </c>
      <c r="X91" s="252">
        <v>0.22</v>
      </c>
      <c r="Y91" s="252">
        <v>0.22</v>
      </c>
      <c r="Z91" s="252">
        <v>0.22</v>
      </c>
      <c r="AA91" s="24"/>
      <c r="AB91" s="252">
        <v>0.22</v>
      </c>
      <c r="AC91" s="252">
        <v>0.2</v>
      </c>
      <c r="AD91" s="252">
        <v>0.2</v>
      </c>
      <c r="AE91" s="252">
        <v>0.2</v>
      </c>
      <c r="AF91" s="252">
        <v>0.2</v>
      </c>
      <c r="AG91" s="26"/>
      <c r="AH91" s="252">
        <v>0.2</v>
      </c>
    </row>
    <row r="92" spans="1:34" ht="10.8" thickBot="1" x14ac:dyDescent="0.25">
      <c r="A92" s="339"/>
      <c r="B92" s="329"/>
      <c r="C92" s="306"/>
      <c r="D92" s="417"/>
      <c r="E92" s="252"/>
      <c r="F92" s="252"/>
      <c r="G92" s="252"/>
      <c r="H92" s="252"/>
      <c r="I92" s="252"/>
      <c r="J92" s="252"/>
      <c r="K92" s="252"/>
      <c r="L92" s="252"/>
      <c r="M92" s="252"/>
      <c r="N92" s="252"/>
      <c r="O92" s="26"/>
      <c r="P92" s="252"/>
      <c r="Q92" s="256"/>
      <c r="R92" s="256"/>
      <c r="S92" s="256"/>
      <c r="T92" s="256"/>
      <c r="U92" s="26"/>
      <c r="V92" s="256"/>
      <c r="W92" s="252"/>
      <c r="X92" s="252"/>
      <c r="Y92" s="252"/>
      <c r="Z92" s="252"/>
      <c r="AA92" s="24"/>
      <c r="AB92" s="252"/>
      <c r="AC92" s="252"/>
      <c r="AD92" s="252"/>
      <c r="AE92" s="252"/>
      <c r="AF92" s="252"/>
      <c r="AG92" s="26"/>
      <c r="AH92" s="252"/>
    </row>
    <row r="93" spans="1:34" x14ac:dyDescent="0.2">
      <c r="A93" s="339"/>
      <c r="B93" s="329"/>
      <c r="C93" s="315" t="s">
        <v>8</v>
      </c>
      <c r="D93" s="416" t="s">
        <v>78</v>
      </c>
      <c r="E93" s="252">
        <v>0.25</v>
      </c>
      <c r="F93" s="252">
        <v>0.25</v>
      </c>
      <c r="G93" s="252">
        <v>0.25</v>
      </c>
      <c r="H93" s="252">
        <v>0.25</v>
      </c>
      <c r="I93" s="252">
        <v>0.25</v>
      </c>
      <c r="J93" s="252">
        <v>0.25</v>
      </c>
      <c r="K93" s="252">
        <v>0.24</v>
      </c>
      <c r="L93" s="252">
        <v>0.24</v>
      </c>
      <c r="M93" s="252">
        <v>0.24</v>
      </c>
      <c r="N93" s="252">
        <v>0.24</v>
      </c>
      <c r="O93" s="26"/>
      <c r="P93" s="252">
        <v>0.24</v>
      </c>
      <c r="Q93" s="246">
        <v>0.23</v>
      </c>
      <c r="R93" s="246">
        <v>0.23</v>
      </c>
      <c r="S93" s="246">
        <v>0.23</v>
      </c>
      <c r="T93" s="246">
        <v>0.23</v>
      </c>
      <c r="U93" s="26"/>
      <c r="V93" s="246">
        <v>0.23</v>
      </c>
      <c r="W93" s="252">
        <v>0.22</v>
      </c>
      <c r="X93" s="252">
        <v>0.22</v>
      </c>
      <c r="Y93" s="252">
        <v>0.22</v>
      </c>
      <c r="Z93" s="252">
        <v>0.22</v>
      </c>
      <c r="AA93" s="24"/>
      <c r="AB93" s="252">
        <v>0.22</v>
      </c>
      <c r="AC93" s="252">
        <v>0.2</v>
      </c>
      <c r="AD93" s="252">
        <v>0.2</v>
      </c>
      <c r="AE93" s="252">
        <v>0.2</v>
      </c>
      <c r="AF93" s="252">
        <v>0.2</v>
      </c>
      <c r="AG93" s="26"/>
      <c r="AH93" s="252">
        <v>0.2</v>
      </c>
    </row>
    <row r="94" spans="1:34" ht="10.8" thickBot="1" x14ac:dyDescent="0.25">
      <c r="A94" s="339"/>
      <c r="B94" s="329"/>
      <c r="C94" s="306"/>
      <c r="D94" s="417"/>
      <c r="E94" s="252"/>
      <c r="F94" s="252"/>
      <c r="G94" s="252"/>
      <c r="H94" s="252"/>
      <c r="I94" s="252"/>
      <c r="J94" s="252"/>
      <c r="K94" s="252"/>
      <c r="L94" s="252"/>
      <c r="M94" s="252"/>
      <c r="N94" s="252"/>
      <c r="O94" s="26"/>
      <c r="P94" s="252"/>
      <c r="Q94" s="256"/>
      <c r="R94" s="256"/>
      <c r="S94" s="256"/>
      <c r="T94" s="256"/>
      <c r="U94" s="26"/>
      <c r="V94" s="256"/>
      <c r="W94" s="252"/>
      <c r="X94" s="252"/>
      <c r="Y94" s="252"/>
      <c r="Z94" s="252"/>
      <c r="AA94" s="24"/>
      <c r="AB94" s="252"/>
      <c r="AC94" s="252"/>
      <c r="AD94" s="252"/>
      <c r="AE94" s="252"/>
      <c r="AF94" s="252"/>
      <c r="AG94" s="26"/>
      <c r="AH94" s="252"/>
    </row>
    <row r="95" spans="1:34" ht="38.25" customHeight="1" thickBot="1" x14ac:dyDescent="0.25">
      <c r="A95" s="339"/>
      <c r="B95" s="327" t="s">
        <v>97</v>
      </c>
      <c r="C95" s="336"/>
      <c r="D95" s="146" t="s">
        <v>135</v>
      </c>
      <c r="E95" s="162">
        <v>75</v>
      </c>
      <c r="F95" s="162">
        <v>75</v>
      </c>
      <c r="G95" s="162">
        <v>75</v>
      </c>
      <c r="H95" s="162">
        <v>75</v>
      </c>
      <c r="I95" s="35"/>
      <c r="J95" s="35">
        <v>300</v>
      </c>
      <c r="K95" s="35">
        <v>72</v>
      </c>
      <c r="L95" s="35">
        <v>72</v>
      </c>
      <c r="M95" s="35">
        <v>72</v>
      </c>
      <c r="N95" s="35">
        <v>74</v>
      </c>
      <c r="O95" s="35"/>
      <c r="P95" s="35">
        <v>290</v>
      </c>
      <c r="Q95" s="162">
        <v>70</v>
      </c>
      <c r="R95" s="162">
        <v>70</v>
      </c>
      <c r="S95" s="162">
        <v>70</v>
      </c>
      <c r="T95" s="162">
        <v>70</v>
      </c>
      <c r="U95" s="35"/>
      <c r="V95" s="35">
        <v>280</v>
      </c>
      <c r="W95" s="162">
        <v>67</v>
      </c>
      <c r="X95" s="162">
        <v>67</v>
      </c>
      <c r="Y95" s="162">
        <v>67</v>
      </c>
      <c r="Z95" s="162">
        <v>69</v>
      </c>
      <c r="AA95" s="162"/>
      <c r="AB95" s="35">
        <v>270</v>
      </c>
      <c r="AC95" s="162">
        <v>62</v>
      </c>
      <c r="AD95" s="162">
        <v>62</v>
      </c>
      <c r="AE95" s="162">
        <v>62</v>
      </c>
      <c r="AF95" s="162">
        <v>64</v>
      </c>
      <c r="AG95" s="35"/>
      <c r="AH95" s="35">
        <v>250</v>
      </c>
    </row>
    <row r="96" spans="1:34" ht="15.75" customHeight="1" x14ac:dyDescent="0.2">
      <c r="A96" s="339"/>
      <c r="B96" s="327" t="s">
        <v>85</v>
      </c>
      <c r="C96" s="315" t="s">
        <v>6</v>
      </c>
      <c r="D96" s="416" t="s">
        <v>78</v>
      </c>
      <c r="E96" s="252">
        <v>0.5</v>
      </c>
      <c r="F96" s="252">
        <v>0.5</v>
      </c>
      <c r="G96" s="252">
        <v>0.5</v>
      </c>
      <c r="H96" s="252">
        <v>0.5</v>
      </c>
      <c r="I96" s="252">
        <v>0.5</v>
      </c>
      <c r="J96" s="252">
        <v>0.5</v>
      </c>
      <c r="K96" s="252">
        <v>0.49</v>
      </c>
      <c r="L96" s="252">
        <v>0.49</v>
      </c>
      <c r="M96" s="252">
        <v>0.49</v>
      </c>
      <c r="N96" s="252">
        <v>0.49</v>
      </c>
      <c r="O96" s="26"/>
      <c r="P96" s="252">
        <v>0.49</v>
      </c>
      <c r="Q96" s="246">
        <v>0.48</v>
      </c>
      <c r="R96" s="246">
        <v>0.48</v>
      </c>
      <c r="S96" s="246">
        <v>0.48</v>
      </c>
      <c r="T96" s="246">
        <v>0.48</v>
      </c>
      <c r="U96" s="26"/>
      <c r="V96" s="246">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thickBot="1" x14ac:dyDescent="0.25">
      <c r="A97" s="339"/>
      <c r="B97" s="327"/>
      <c r="C97" s="315"/>
      <c r="D97" s="417"/>
      <c r="E97" s="252"/>
      <c r="F97" s="252"/>
      <c r="G97" s="252"/>
      <c r="H97" s="252"/>
      <c r="I97" s="252"/>
      <c r="J97" s="252"/>
      <c r="K97" s="252"/>
      <c r="L97" s="252"/>
      <c r="M97" s="252"/>
      <c r="N97" s="252"/>
      <c r="O97" s="26"/>
      <c r="P97" s="252"/>
      <c r="Q97" s="256"/>
      <c r="R97" s="256"/>
      <c r="S97" s="256"/>
      <c r="T97" s="256"/>
      <c r="U97" s="26"/>
      <c r="V97" s="256"/>
      <c r="W97" s="252"/>
      <c r="X97" s="252"/>
      <c r="Y97" s="252"/>
      <c r="Z97" s="252"/>
      <c r="AA97" s="24"/>
      <c r="AB97" s="252"/>
      <c r="AC97" s="252"/>
      <c r="AD97" s="252"/>
      <c r="AE97" s="252"/>
      <c r="AF97" s="252"/>
      <c r="AG97" s="26"/>
      <c r="AH97" s="252"/>
    </row>
    <row r="98" spans="1:34" ht="15.75" customHeight="1" x14ac:dyDescent="0.2">
      <c r="A98" s="339"/>
      <c r="B98" s="327"/>
      <c r="C98" s="315" t="s">
        <v>7</v>
      </c>
      <c r="D98" s="416" t="s">
        <v>78</v>
      </c>
      <c r="E98" s="252">
        <v>0.25</v>
      </c>
      <c r="F98" s="252">
        <v>0.25</v>
      </c>
      <c r="G98" s="252">
        <v>0.25</v>
      </c>
      <c r="H98" s="252">
        <v>0.25</v>
      </c>
      <c r="I98" s="252">
        <v>0.25</v>
      </c>
      <c r="J98" s="252">
        <v>0.25</v>
      </c>
      <c r="K98" s="252">
        <v>0.24</v>
      </c>
      <c r="L98" s="252">
        <v>0.24</v>
      </c>
      <c r="M98" s="252">
        <v>0.24</v>
      </c>
      <c r="N98" s="252">
        <v>0.24</v>
      </c>
      <c r="O98" s="26"/>
      <c r="P98" s="252">
        <v>0.24</v>
      </c>
      <c r="Q98" s="246">
        <v>0.23</v>
      </c>
      <c r="R98" s="246">
        <v>0.23</v>
      </c>
      <c r="S98" s="246">
        <v>0.23</v>
      </c>
      <c r="T98" s="246">
        <v>0.23</v>
      </c>
      <c r="U98" s="26"/>
      <c r="V98" s="246">
        <v>0.23</v>
      </c>
      <c r="W98" s="252">
        <v>0.22</v>
      </c>
      <c r="X98" s="252">
        <v>0.22</v>
      </c>
      <c r="Y98" s="252">
        <v>0.22</v>
      </c>
      <c r="Z98" s="252">
        <v>0.22</v>
      </c>
      <c r="AA98" s="24"/>
      <c r="AB98" s="252">
        <v>0.22</v>
      </c>
      <c r="AC98" s="252">
        <v>0.2</v>
      </c>
      <c r="AD98" s="252">
        <v>0.2</v>
      </c>
      <c r="AE98" s="252">
        <v>0.2</v>
      </c>
      <c r="AF98" s="252">
        <v>0.2</v>
      </c>
      <c r="AG98" s="26"/>
      <c r="AH98" s="252">
        <v>0.2</v>
      </c>
    </row>
    <row r="99" spans="1:34" ht="15.75" customHeight="1" thickBot="1" x14ac:dyDescent="0.25">
      <c r="A99" s="339"/>
      <c r="B99" s="327"/>
      <c r="C99" s="315"/>
      <c r="D99" s="417"/>
      <c r="E99" s="252"/>
      <c r="F99" s="252"/>
      <c r="G99" s="252"/>
      <c r="H99" s="252"/>
      <c r="I99" s="252"/>
      <c r="J99" s="252"/>
      <c r="K99" s="252"/>
      <c r="L99" s="252"/>
      <c r="M99" s="252"/>
      <c r="N99" s="252"/>
      <c r="O99" s="26"/>
      <c r="P99" s="252"/>
      <c r="Q99" s="256"/>
      <c r="R99" s="256"/>
      <c r="S99" s="256"/>
      <c r="T99" s="256"/>
      <c r="U99" s="26"/>
      <c r="V99" s="256"/>
      <c r="W99" s="252"/>
      <c r="X99" s="252"/>
      <c r="Y99" s="252"/>
      <c r="Z99" s="252"/>
      <c r="AA99" s="24"/>
      <c r="AB99" s="252"/>
      <c r="AC99" s="252"/>
      <c r="AD99" s="252"/>
      <c r="AE99" s="252"/>
      <c r="AF99" s="252"/>
      <c r="AG99" s="26"/>
      <c r="AH99" s="252"/>
    </row>
    <row r="100" spans="1:34" ht="15.75" customHeight="1" x14ac:dyDescent="0.2">
      <c r="A100" s="339"/>
      <c r="B100" s="327"/>
      <c r="C100" s="315" t="s">
        <v>8</v>
      </c>
      <c r="D100" s="416" t="s">
        <v>78</v>
      </c>
      <c r="E100" s="252">
        <v>0.3</v>
      </c>
      <c r="F100" s="252">
        <v>0.3</v>
      </c>
      <c r="G100" s="252">
        <v>0.3</v>
      </c>
      <c r="H100" s="252">
        <v>0.3</v>
      </c>
      <c r="I100" s="252">
        <v>0.3</v>
      </c>
      <c r="J100" s="252">
        <v>0.3</v>
      </c>
      <c r="K100" s="252">
        <v>0.28999999999999998</v>
      </c>
      <c r="L100" s="252">
        <v>0.28999999999999998</v>
      </c>
      <c r="M100" s="252">
        <v>0.28999999999999998</v>
      </c>
      <c r="N100" s="252">
        <v>0.28999999999999998</v>
      </c>
      <c r="O100" s="26"/>
      <c r="P100" s="252">
        <v>0.28999999999999998</v>
      </c>
      <c r="Q100" s="246">
        <v>0.28000000000000003</v>
      </c>
      <c r="R100" s="246">
        <v>0.28000000000000003</v>
      </c>
      <c r="S100" s="246">
        <v>0.28000000000000003</v>
      </c>
      <c r="T100" s="246">
        <v>0.28000000000000003</v>
      </c>
      <c r="U100" s="26"/>
      <c r="V100" s="246">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thickBot="1" x14ac:dyDescent="0.25">
      <c r="A101" s="339"/>
      <c r="B101" s="327"/>
      <c r="C101" s="315"/>
      <c r="D101" s="417"/>
      <c r="E101" s="252"/>
      <c r="F101" s="252"/>
      <c r="G101" s="252"/>
      <c r="H101" s="252"/>
      <c r="I101" s="252"/>
      <c r="J101" s="252"/>
      <c r="K101" s="252"/>
      <c r="L101" s="252"/>
      <c r="M101" s="252"/>
      <c r="N101" s="252"/>
      <c r="O101" s="26"/>
      <c r="P101" s="252"/>
      <c r="Q101" s="256"/>
      <c r="R101" s="256"/>
      <c r="S101" s="256"/>
      <c r="T101" s="256"/>
      <c r="U101" s="26"/>
      <c r="V101" s="256"/>
      <c r="W101" s="252"/>
      <c r="X101" s="252"/>
      <c r="Y101" s="252"/>
      <c r="Z101" s="252"/>
      <c r="AA101" s="24"/>
      <c r="AB101" s="252"/>
      <c r="AC101" s="252"/>
      <c r="AD101" s="252"/>
      <c r="AE101" s="252"/>
      <c r="AF101" s="252"/>
      <c r="AG101" s="26"/>
      <c r="AH101" s="252"/>
    </row>
    <row r="102" spans="1:34" ht="15.75" customHeight="1" x14ac:dyDescent="0.2">
      <c r="A102" s="339"/>
      <c r="B102" s="327" t="s">
        <v>98</v>
      </c>
      <c r="C102" s="315" t="s">
        <v>6</v>
      </c>
      <c r="D102" s="416" t="s">
        <v>78</v>
      </c>
      <c r="E102" s="252">
        <v>0.25</v>
      </c>
      <c r="F102" s="252">
        <v>0.25</v>
      </c>
      <c r="G102" s="252">
        <v>0.25</v>
      </c>
      <c r="H102" s="252">
        <v>0.25</v>
      </c>
      <c r="I102" s="252">
        <v>0.25</v>
      </c>
      <c r="J102" s="252">
        <v>0.25</v>
      </c>
      <c r="K102" s="252">
        <v>0.24</v>
      </c>
      <c r="L102" s="252">
        <v>0.24</v>
      </c>
      <c r="M102" s="252">
        <v>0.24</v>
      </c>
      <c r="N102" s="252">
        <v>0.24</v>
      </c>
      <c r="O102" s="26"/>
      <c r="P102" s="252">
        <v>0.24</v>
      </c>
      <c r="Q102" s="246">
        <v>0.23</v>
      </c>
      <c r="R102" s="246">
        <v>0.23</v>
      </c>
      <c r="S102" s="246">
        <v>0.23</v>
      </c>
      <c r="T102" s="246">
        <v>0.23</v>
      </c>
      <c r="U102" s="26"/>
      <c r="V102" s="246">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thickBot="1" x14ac:dyDescent="0.25">
      <c r="A103" s="339"/>
      <c r="B103" s="440"/>
      <c r="C103" s="306"/>
      <c r="D103" s="417"/>
      <c r="E103" s="252"/>
      <c r="F103" s="252"/>
      <c r="G103" s="252"/>
      <c r="H103" s="252"/>
      <c r="I103" s="252"/>
      <c r="J103" s="252"/>
      <c r="K103" s="252"/>
      <c r="L103" s="252"/>
      <c r="M103" s="252"/>
      <c r="N103" s="252"/>
      <c r="O103" s="26"/>
      <c r="P103" s="252"/>
      <c r="Q103" s="256"/>
      <c r="R103" s="256"/>
      <c r="S103" s="256"/>
      <c r="T103" s="256"/>
      <c r="U103" s="26"/>
      <c r="V103" s="256"/>
      <c r="W103" s="252"/>
      <c r="X103" s="252"/>
      <c r="Y103" s="252"/>
      <c r="Z103" s="252"/>
      <c r="AA103" s="24"/>
      <c r="AB103" s="252"/>
      <c r="AC103" s="252"/>
      <c r="AD103" s="252"/>
      <c r="AE103" s="252"/>
      <c r="AF103" s="252"/>
      <c r="AG103" s="26"/>
      <c r="AH103" s="252"/>
    </row>
    <row r="104" spans="1:34" ht="15.75" customHeight="1" x14ac:dyDescent="0.2">
      <c r="A104" s="339"/>
      <c r="B104" s="440"/>
      <c r="C104" s="315" t="s">
        <v>7</v>
      </c>
      <c r="D104" s="416" t="s">
        <v>78</v>
      </c>
      <c r="E104" s="252">
        <v>0.25</v>
      </c>
      <c r="F104" s="252">
        <v>0.25</v>
      </c>
      <c r="G104" s="252">
        <v>0.25</v>
      </c>
      <c r="H104" s="252">
        <v>0.25</v>
      </c>
      <c r="I104" s="252">
        <v>0.25</v>
      </c>
      <c r="J104" s="252">
        <v>0.25</v>
      </c>
      <c r="K104" s="252">
        <v>0.24</v>
      </c>
      <c r="L104" s="252">
        <v>0.24</v>
      </c>
      <c r="M104" s="252">
        <v>0.24</v>
      </c>
      <c r="N104" s="252">
        <v>0.24</v>
      </c>
      <c r="O104" s="26"/>
      <c r="P104" s="252">
        <v>0.24</v>
      </c>
      <c r="Q104" s="246">
        <v>0.23</v>
      </c>
      <c r="R104" s="246">
        <v>0.23</v>
      </c>
      <c r="S104" s="246">
        <v>0.23</v>
      </c>
      <c r="T104" s="246">
        <v>0.23</v>
      </c>
      <c r="U104" s="26"/>
      <c r="V104" s="246">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thickBot="1" x14ac:dyDescent="0.25">
      <c r="A105" s="339"/>
      <c r="B105" s="440"/>
      <c r="C105" s="306"/>
      <c r="D105" s="417"/>
      <c r="E105" s="252"/>
      <c r="F105" s="252"/>
      <c r="G105" s="252"/>
      <c r="H105" s="252"/>
      <c r="I105" s="252"/>
      <c r="J105" s="252"/>
      <c r="K105" s="252"/>
      <c r="L105" s="252"/>
      <c r="M105" s="252"/>
      <c r="N105" s="252"/>
      <c r="O105" s="26"/>
      <c r="P105" s="252"/>
      <c r="Q105" s="256"/>
      <c r="R105" s="256"/>
      <c r="S105" s="256"/>
      <c r="T105" s="256"/>
      <c r="U105" s="26"/>
      <c r="V105" s="256"/>
      <c r="W105" s="252"/>
      <c r="X105" s="252"/>
      <c r="Y105" s="252"/>
      <c r="Z105" s="252"/>
      <c r="AA105" s="24"/>
      <c r="AB105" s="252"/>
      <c r="AC105" s="252"/>
      <c r="AD105" s="252"/>
      <c r="AE105" s="252"/>
      <c r="AF105" s="252"/>
      <c r="AG105" s="26"/>
      <c r="AH105" s="252"/>
    </row>
    <row r="106" spans="1:34" ht="15.75" customHeight="1" x14ac:dyDescent="0.2">
      <c r="A106" s="339"/>
      <c r="B106" s="440"/>
      <c r="C106" s="315" t="s">
        <v>8</v>
      </c>
      <c r="D106" s="416" t="s">
        <v>78</v>
      </c>
      <c r="E106" s="252">
        <v>0.25</v>
      </c>
      <c r="F106" s="252">
        <v>0.25</v>
      </c>
      <c r="G106" s="252">
        <v>0.25</v>
      </c>
      <c r="H106" s="252">
        <v>0.25</v>
      </c>
      <c r="I106" s="252">
        <v>0.25</v>
      </c>
      <c r="J106" s="252">
        <v>0.25</v>
      </c>
      <c r="K106" s="252">
        <v>0.24</v>
      </c>
      <c r="L106" s="252">
        <v>0.24</v>
      </c>
      <c r="M106" s="252">
        <v>0.24</v>
      </c>
      <c r="N106" s="252">
        <v>0.24</v>
      </c>
      <c r="O106" s="26"/>
      <c r="P106" s="252">
        <v>0.24</v>
      </c>
      <c r="Q106" s="246">
        <v>0.23</v>
      </c>
      <c r="R106" s="246">
        <v>0.23</v>
      </c>
      <c r="S106" s="246">
        <v>0.23</v>
      </c>
      <c r="T106" s="246">
        <v>0.23</v>
      </c>
      <c r="U106" s="26"/>
      <c r="V106" s="246">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thickBot="1" x14ac:dyDescent="0.25">
      <c r="A107" s="339"/>
      <c r="B107" s="440"/>
      <c r="C107" s="306"/>
      <c r="D107" s="417"/>
      <c r="E107" s="252"/>
      <c r="F107" s="252"/>
      <c r="G107" s="252"/>
      <c r="H107" s="252"/>
      <c r="I107" s="252"/>
      <c r="J107" s="252"/>
      <c r="K107" s="252"/>
      <c r="L107" s="252"/>
      <c r="M107" s="252"/>
      <c r="N107" s="252"/>
      <c r="O107" s="26"/>
      <c r="P107" s="252"/>
      <c r="Q107" s="256"/>
      <c r="R107" s="256"/>
      <c r="S107" s="256"/>
      <c r="T107" s="256"/>
      <c r="U107" s="26"/>
      <c r="V107" s="256"/>
      <c r="W107" s="252"/>
      <c r="X107" s="252"/>
      <c r="Y107" s="252"/>
      <c r="Z107" s="252"/>
      <c r="AA107" s="24"/>
      <c r="AB107" s="252"/>
      <c r="AC107" s="252"/>
      <c r="AD107" s="252"/>
      <c r="AE107" s="252"/>
      <c r="AF107" s="252"/>
      <c r="AG107" s="26"/>
      <c r="AH107" s="252"/>
    </row>
    <row r="108" spans="1:34" ht="10.8" thickBot="1" x14ac:dyDescent="0.25">
      <c r="A108" s="65" t="s">
        <v>21</v>
      </c>
      <c r="B108" s="337" t="s">
        <v>22</v>
      </c>
      <c r="C108" s="33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row>
    <row r="109" spans="1:34" ht="34.200000000000003" customHeight="1" thickBot="1" x14ac:dyDescent="0.25">
      <c r="A109" s="441"/>
      <c r="B109" s="335" t="s">
        <v>23</v>
      </c>
      <c r="C109" s="335"/>
      <c r="D109" s="146" t="s">
        <v>135</v>
      </c>
      <c r="E109" s="23">
        <v>100</v>
      </c>
      <c r="F109" s="23">
        <v>100</v>
      </c>
      <c r="G109" s="23">
        <v>100</v>
      </c>
      <c r="H109" s="23">
        <v>100</v>
      </c>
      <c r="I109" s="26"/>
      <c r="J109" s="41">
        <v>400</v>
      </c>
      <c r="K109" s="23">
        <v>100</v>
      </c>
      <c r="L109" s="23">
        <v>100</v>
      </c>
      <c r="M109" s="23">
        <v>100</v>
      </c>
      <c r="N109" s="23">
        <v>100</v>
      </c>
      <c r="O109" s="26"/>
      <c r="P109" s="41">
        <v>400</v>
      </c>
      <c r="Q109" s="23">
        <v>100</v>
      </c>
      <c r="R109" s="23">
        <v>100</v>
      </c>
      <c r="S109" s="23">
        <v>100</v>
      </c>
      <c r="T109" s="23">
        <v>100</v>
      </c>
      <c r="U109" s="26"/>
      <c r="V109" s="41">
        <v>400</v>
      </c>
      <c r="W109" s="23">
        <v>100</v>
      </c>
      <c r="X109" s="23">
        <v>100</v>
      </c>
      <c r="Y109" s="23">
        <v>100</v>
      </c>
      <c r="Z109" s="23">
        <v>100</v>
      </c>
      <c r="AA109" s="26"/>
      <c r="AB109" s="41">
        <v>400</v>
      </c>
      <c r="AC109" s="23">
        <v>100</v>
      </c>
      <c r="AD109" s="23">
        <v>100</v>
      </c>
      <c r="AE109" s="23">
        <v>100</v>
      </c>
      <c r="AF109" s="23">
        <v>100</v>
      </c>
      <c r="AG109" s="26"/>
      <c r="AH109" s="41">
        <v>400</v>
      </c>
    </row>
    <row r="110" spans="1:34" x14ac:dyDescent="0.2">
      <c r="A110" s="441"/>
      <c r="B110" s="327" t="s">
        <v>99</v>
      </c>
      <c r="C110" s="329"/>
      <c r="D110" s="416" t="s">
        <v>78</v>
      </c>
      <c r="E110" s="252">
        <v>0.33</v>
      </c>
      <c r="F110" s="252">
        <v>0.33</v>
      </c>
      <c r="G110" s="252">
        <v>0.33</v>
      </c>
      <c r="H110" s="252">
        <v>0.33</v>
      </c>
      <c r="I110" s="26"/>
      <c r="J110" s="252">
        <v>0.33</v>
      </c>
      <c r="K110" s="252">
        <v>0.33</v>
      </c>
      <c r="L110" s="252">
        <v>0.33</v>
      </c>
      <c r="M110" s="252">
        <v>0.33</v>
      </c>
      <c r="N110" s="252">
        <v>0.33</v>
      </c>
      <c r="O110" s="26"/>
      <c r="P110" s="252">
        <v>0.33</v>
      </c>
      <c r="Q110" s="246">
        <v>0.33</v>
      </c>
      <c r="R110" s="246">
        <v>0.33</v>
      </c>
      <c r="S110" s="246">
        <v>0.33</v>
      </c>
      <c r="T110" s="246">
        <v>0.33</v>
      </c>
      <c r="U110" s="26"/>
      <c r="V110" s="246">
        <v>0.33</v>
      </c>
      <c r="W110" s="252">
        <v>0.33</v>
      </c>
      <c r="X110" s="252">
        <v>0.33</v>
      </c>
      <c r="Y110" s="252">
        <v>0.33</v>
      </c>
      <c r="Z110" s="252">
        <v>0.33</v>
      </c>
      <c r="AA110" s="26"/>
      <c r="AB110" s="252">
        <v>0.33</v>
      </c>
      <c r="AC110" s="252">
        <v>0.33</v>
      </c>
      <c r="AD110" s="252">
        <v>0.33</v>
      </c>
      <c r="AE110" s="252">
        <v>0.33</v>
      </c>
      <c r="AF110" s="252">
        <v>0.33</v>
      </c>
      <c r="AG110" s="26"/>
      <c r="AH110" s="252">
        <v>0.33</v>
      </c>
    </row>
    <row r="111" spans="1:34" ht="32.4" customHeight="1" thickBot="1" x14ac:dyDescent="0.25">
      <c r="A111" s="441"/>
      <c r="B111" s="329"/>
      <c r="C111" s="329"/>
      <c r="D111" s="417"/>
      <c r="E111" s="252"/>
      <c r="F111" s="252"/>
      <c r="G111" s="252"/>
      <c r="H111" s="252"/>
      <c r="I111" s="26"/>
      <c r="J111" s="252"/>
      <c r="K111" s="252"/>
      <c r="L111" s="252"/>
      <c r="M111" s="252"/>
      <c r="N111" s="252"/>
      <c r="O111" s="26"/>
      <c r="P111" s="252"/>
      <c r="Q111" s="256"/>
      <c r="R111" s="256"/>
      <c r="S111" s="256"/>
      <c r="T111" s="256"/>
      <c r="U111" s="26"/>
      <c r="V111" s="256"/>
      <c r="W111" s="252"/>
      <c r="X111" s="252"/>
      <c r="Y111" s="252"/>
      <c r="Z111" s="252"/>
      <c r="AA111" s="26"/>
      <c r="AB111" s="252"/>
      <c r="AC111" s="252"/>
      <c r="AD111" s="252"/>
      <c r="AE111" s="252"/>
      <c r="AF111" s="252"/>
      <c r="AG111" s="26"/>
      <c r="AH111" s="252"/>
    </row>
    <row r="112" spans="1:34" ht="15.75" customHeight="1" x14ac:dyDescent="0.2">
      <c r="A112" s="441"/>
      <c r="B112" s="327" t="s">
        <v>136</v>
      </c>
      <c r="C112" s="315" t="s">
        <v>6</v>
      </c>
      <c r="D112" s="416" t="s">
        <v>78</v>
      </c>
      <c r="E112" s="252">
        <v>0.5</v>
      </c>
      <c r="F112" s="252">
        <v>0.5</v>
      </c>
      <c r="G112" s="252">
        <v>0.5</v>
      </c>
      <c r="H112" s="252">
        <v>0.5</v>
      </c>
      <c r="I112" s="26"/>
      <c r="J112" s="252">
        <v>0.5</v>
      </c>
      <c r="K112" s="252">
        <v>0.49</v>
      </c>
      <c r="L112" s="252">
        <v>0.49</v>
      </c>
      <c r="M112" s="252">
        <v>0.49</v>
      </c>
      <c r="N112" s="252">
        <v>0.49</v>
      </c>
      <c r="O112" s="26"/>
      <c r="P112" s="252">
        <v>0.49</v>
      </c>
      <c r="Q112" s="246">
        <v>0.48</v>
      </c>
      <c r="R112" s="246">
        <v>0.48</v>
      </c>
      <c r="S112" s="246">
        <v>0.48</v>
      </c>
      <c r="T112" s="246">
        <v>0.48</v>
      </c>
      <c r="U112" s="26"/>
      <c r="V112" s="246">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thickBot="1" x14ac:dyDescent="0.25">
      <c r="A113" s="441"/>
      <c r="B113" s="327"/>
      <c r="C113" s="315"/>
      <c r="D113" s="417"/>
      <c r="E113" s="252"/>
      <c r="F113" s="252"/>
      <c r="G113" s="252"/>
      <c r="H113" s="252"/>
      <c r="I113" s="26"/>
      <c r="J113" s="252"/>
      <c r="K113" s="252"/>
      <c r="L113" s="252"/>
      <c r="M113" s="252"/>
      <c r="N113" s="252"/>
      <c r="O113" s="26"/>
      <c r="P113" s="252"/>
      <c r="Q113" s="256"/>
      <c r="R113" s="256"/>
      <c r="S113" s="256"/>
      <c r="T113" s="256"/>
      <c r="U113" s="26"/>
      <c r="V113" s="256"/>
      <c r="W113" s="252"/>
      <c r="X113" s="252"/>
      <c r="Y113" s="252"/>
      <c r="Z113" s="252"/>
      <c r="AA113" s="24"/>
      <c r="AB113" s="252"/>
      <c r="AC113" s="252"/>
      <c r="AD113" s="252"/>
      <c r="AE113" s="252"/>
      <c r="AF113" s="252"/>
      <c r="AG113" s="26"/>
      <c r="AH113" s="252"/>
    </row>
    <row r="114" spans="1:34" ht="15.75" customHeight="1" x14ac:dyDescent="0.2">
      <c r="A114" s="441"/>
      <c r="B114" s="327"/>
      <c r="C114" s="315" t="s">
        <v>7</v>
      </c>
      <c r="D114" s="416" t="s">
        <v>78</v>
      </c>
      <c r="E114" s="252">
        <v>0.25</v>
      </c>
      <c r="F114" s="252">
        <v>0.25</v>
      </c>
      <c r="G114" s="252">
        <v>0.25</v>
      </c>
      <c r="H114" s="252">
        <v>0.25</v>
      </c>
      <c r="I114" s="26"/>
      <c r="J114" s="252">
        <v>0.25</v>
      </c>
      <c r="K114" s="252">
        <v>0.24</v>
      </c>
      <c r="L114" s="252">
        <v>0.24</v>
      </c>
      <c r="M114" s="252">
        <v>0.24</v>
      </c>
      <c r="N114" s="252">
        <v>0.24</v>
      </c>
      <c r="O114" s="26"/>
      <c r="P114" s="252">
        <v>0.24</v>
      </c>
      <c r="Q114" s="246">
        <v>0.23</v>
      </c>
      <c r="R114" s="246">
        <v>0.23</v>
      </c>
      <c r="S114" s="246">
        <v>0.23</v>
      </c>
      <c r="T114" s="246">
        <v>0.23</v>
      </c>
      <c r="U114" s="26"/>
      <c r="V114" s="246">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thickBot="1" x14ac:dyDescent="0.25">
      <c r="A115" s="441"/>
      <c r="B115" s="327"/>
      <c r="C115" s="315"/>
      <c r="D115" s="417"/>
      <c r="E115" s="252"/>
      <c r="F115" s="252"/>
      <c r="G115" s="252"/>
      <c r="H115" s="252"/>
      <c r="I115" s="26"/>
      <c r="J115" s="252"/>
      <c r="K115" s="252"/>
      <c r="L115" s="252"/>
      <c r="M115" s="252"/>
      <c r="N115" s="252"/>
      <c r="O115" s="26"/>
      <c r="P115" s="252"/>
      <c r="Q115" s="256"/>
      <c r="R115" s="256"/>
      <c r="S115" s="256"/>
      <c r="T115" s="256"/>
      <c r="U115" s="26"/>
      <c r="V115" s="256"/>
      <c r="W115" s="252"/>
      <c r="X115" s="252"/>
      <c r="Y115" s="252"/>
      <c r="Z115" s="252"/>
      <c r="AA115" s="24"/>
      <c r="AB115" s="252"/>
      <c r="AC115" s="252"/>
      <c r="AD115" s="252"/>
      <c r="AE115" s="252"/>
      <c r="AF115" s="252"/>
      <c r="AG115" s="26"/>
      <c r="AH115" s="252"/>
    </row>
    <row r="116" spans="1:34" ht="15.75" customHeight="1" x14ac:dyDescent="0.2">
      <c r="A116" s="441"/>
      <c r="B116" s="327"/>
      <c r="C116" s="315" t="s">
        <v>8</v>
      </c>
      <c r="D116" s="416"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46">
        <v>0.28000000000000003</v>
      </c>
      <c r="R116" s="246">
        <v>0.28000000000000003</v>
      </c>
      <c r="S116" s="246">
        <v>0.28000000000000003</v>
      </c>
      <c r="T116" s="246">
        <v>0.28000000000000003</v>
      </c>
      <c r="U116" s="26"/>
      <c r="V116" s="246">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thickBot="1" x14ac:dyDescent="0.25">
      <c r="A117" s="441"/>
      <c r="B117" s="327"/>
      <c r="C117" s="315"/>
      <c r="D117" s="417"/>
      <c r="E117" s="252"/>
      <c r="F117" s="252"/>
      <c r="G117" s="252"/>
      <c r="H117" s="252"/>
      <c r="I117" s="26"/>
      <c r="J117" s="252"/>
      <c r="K117" s="252"/>
      <c r="L117" s="252"/>
      <c r="M117" s="252"/>
      <c r="N117" s="252"/>
      <c r="O117" s="26"/>
      <c r="P117" s="252"/>
      <c r="Q117" s="256"/>
      <c r="R117" s="256"/>
      <c r="S117" s="256"/>
      <c r="T117" s="256"/>
      <c r="U117" s="26"/>
      <c r="V117" s="256"/>
      <c r="W117" s="252"/>
      <c r="X117" s="252"/>
      <c r="Y117" s="252"/>
      <c r="Z117" s="252"/>
      <c r="AA117" s="24"/>
      <c r="AB117" s="252"/>
      <c r="AC117" s="252"/>
      <c r="AD117" s="252"/>
      <c r="AE117" s="252"/>
      <c r="AF117" s="252"/>
      <c r="AG117" s="26"/>
      <c r="AH117" s="252"/>
    </row>
    <row r="118" spans="1:34" ht="15.75" customHeight="1" x14ac:dyDescent="0.2">
      <c r="A118" s="441"/>
      <c r="B118" s="327" t="s">
        <v>86</v>
      </c>
      <c r="C118" s="315" t="s">
        <v>6</v>
      </c>
      <c r="D118" s="416" t="s">
        <v>78</v>
      </c>
      <c r="E118" s="252">
        <v>0.1</v>
      </c>
      <c r="F118" s="252">
        <v>0.1</v>
      </c>
      <c r="G118" s="252">
        <v>0.1</v>
      </c>
      <c r="H118" s="252">
        <v>0.1</v>
      </c>
      <c r="I118" s="26"/>
      <c r="J118" s="252">
        <v>0.1</v>
      </c>
      <c r="K118" s="252">
        <v>0.1</v>
      </c>
      <c r="L118" s="252">
        <v>0.1</v>
      </c>
      <c r="M118" s="252">
        <v>0.1</v>
      </c>
      <c r="N118" s="252">
        <v>0.1</v>
      </c>
      <c r="O118" s="26"/>
      <c r="P118" s="252">
        <v>0.1</v>
      </c>
      <c r="Q118" s="246">
        <v>0.1</v>
      </c>
      <c r="R118" s="246">
        <v>0.1</v>
      </c>
      <c r="S118" s="246">
        <v>0.1</v>
      </c>
      <c r="T118" s="246">
        <v>0.1</v>
      </c>
      <c r="U118" s="26"/>
      <c r="V118" s="246">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thickBot="1" x14ac:dyDescent="0.25">
      <c r="A119" s="441"/>
      <c r="B119" s="327"/>
      <c r="C119" s="315"/>
      <c r="D119" s="417"/>
      <c r="E119" s="252"/>
      <c r="F119" s="252"/>
      <c r="G119" s="252"/>
      <c r="H119" s="252"/>
      <c r="I119" s="26"/>
      <c r="J119" s="252"/>
      <c r="K119" s="252"/>
      <c r="L119" s="252"/>
      <c r="M119" s="252"/>
      <c r="N119" s="252"/>
      <c r="O119" s="26"/>
      <c r="P119" s="252"/>
      <c r="Q119" s="256"/>
      <c r="R119" s="256"/>
      <c r="S119" s="256"/>
      <c r="T119" s="256"/>
      <c r="U119" s="26"/>
      <c r="V119" s="256"/>
      <c r="W119" s="252"/>
      <c r="X119" s="252"/>
      <c r="Y119" s="252"/>
      <c r="Z119" s="252"/>
      <c r="AA119" s="26"/>
      <c r="AB119" s="252"/>
      <c r="AC119" s="252"/>
      <c r="AD119" s="252"/>
      <c r="AE119" s="252"/>
      <c r="AF119" s="252"/>
      <c r="AG119" s="26"/>
      <c r="AH119" s="252"/>
    </row>
    <row r="120" spans="1:34" ht="15.75" customHeight="1" x14ac:dyDescent="0.2">
      <c r="A120" s="441"/>
      <c r="B120" s="327"/>
      <c r="C120" s="315" t="s">
        <v>7</v>
      </c>
      <c r="D120" s="416" t="s">
        <v>78</v>
      </c>
      <c r="E120" s="252">
        <v>0.1</v>
      </c>
      <c r="F120" s="252">
        <v>0.1</v>
      </c>
      <c r="G120" s="252">
        <v>0.1</v>
      </c>
      <c r="H120" s="252">
        <v>0.1</v>
      </c>
      <c r="I120" s="26"/>
      <c r="J120" s="252">
        <v>0.1</v>
      </c>
      <c r="K120" s="252">
        <v>0.1</v>
      </c>
      <c r="L120" s="252">
        <v>0.1</v>
      </c>
      <c r="M120" s="252">
        <v>0.1</v>
      </c>
      <c r="N120" s="252">
        <v>0.1</v>
      </c>
      <c r="O120" s="26"/>
      <c r="P120" s="252">
        <v>0.1</v>
      </c>
      <c r="Q120" s="246">
        <v>0.1</v>
      </c>
      <c r="R120" s="246">
        <v>0.1</v>
      </c>
      <c r="S120" s="246">
        <v>0.1</v>
      </c>
      <c r="T120" s="246">
        <v>0.1</v>
      </c>
      <c r="U120" s="26"/>
      <c r="V120" s="246">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thickBot="1" x14ac:dyDescent="0.25">
      <c r="A121" s="441"/>
      <c r="B121" s="327"/>
      <c r="C121" s="315"/>
      <c r="D121" s="417"/>
      <c r="E121" s="252"/>
      <c r="F121" s="252"/>
      <c r="G121" s="252"/>
      <c r="H121" s="252"/>
      <c r="I121" s="26"/>
      <c r="J121" s="252"/>
      <c r="K121" s="252"/>
      <c r="L121" s="252"/>
      <c r="M121" s="252"/>
      <c r="N121" s="252"/>
      <c r="O121" s="26"/>
      <c r="P121" s="252"/>
      <c r="Q121" s="256"/>
      <c r="R121" s="256"/>
      <c r="S121" s="256"/>
      <c r="T121" s="256"/>
      <c r="U121" s="26"/>
      <c r="V121" s="256"/>
      <c r="W121" s="252"/>
      <c r="X121" s="252"/>
      <c r="Y121" s="252"/>
      <c r="Z121" s="252"/>
      <c r="AA121" s="26"/>
      <c r="AB121" s="252"/>
      <c r="AC121" s="252"/>
      <c r="AD121" s="252"/>
      <c r="AE121" s="252"/>
      <c r="AF121" s="252"/>
      <c r="AG121" s="26"/>
      <c r="AH121" s="252"/>
    </row>
    <row r="122" spans="1:34" ht="15.75" customHeight="1" x14ac:dyDescent="0.2">
      <c r="A122" s="441"/>
      <c r="B122" s="327"/>
      <c r="C122" s="315" t="s">
        <v>8</v>
      </c>
      <c r="D122" s="416" t="s">
        <v>78</v>
      </c>
      <c r="E122" s="252">
        <v>0.1</v>
      </c>
      <c r="F122" s="252">
        <v>0.1</v>
      </c>
      <c r="G122" s="252">
        <v>0.1</v>
      </c>
      <c r="H122" s="252">
        <v>0.1</v>
      </c>
      <c r="I122" s="26"/>
      <c r="J122" s="252">
        <v>0.1</v>
      </c>
      <c r="K122" s="252">
        <v>0.1</v>
      </c>
      <c r="L122" s="252">
        <v>0.1</v>
      </c>
      <c r="M122" s="252">
        <v>0.1</v>
      </c>
      <c r="N122" s="252">
        <v>0.1</v>
      </c>
      <c r="O122" s="26"/>
      <c r="P122" s="252">
        <v>0.1</v>
      </c>
      <c r="Q122" s="246">
        <v>0.1</v>
      </c>
      <c r="R122" s="246">
        <v>0.1</v>
      </c>
      <c r="S122" s="246">
        <v>0.1</v>
      </c>
      <c r="T122" s="246">
        <v>0.1</v>
      </c>
      <c r="U122" s="26"/>
      <c r="V122" s="246">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thickBot="1" x14ac:dyDescent="0.25">
      <c r="A123" s="442"/>
      <c r="B123" s="327"/>
      <c r="C123" s="315"/>
      <c r="D123" s="417"/>
      <c r="E123" s="252"/>
      <c r="F123" s="252"/>
      <c r="G123" s="252"/>
      <c r="H123" s="252"/>
      <c r="I123" s="26"/>
      <c r="J123" s="252"/>
      <c r="K123" s="252"/>
      <c r="L123" s="252"/>
      <c r="M123" s="252"/>
      <c r="N123" s="252"/>
      <c r="O123" s="26"/>
      <c r="P123" s="252"/>
      <c r="Q123" s="256"/>
      <c r="R123" s="256"/>
      <c r="S123" s="256"/>
      <c r="T123" s="256"/>
      <c r="U123" s="26"/>
      <c r="V123" s="256"/>
      <c r="W123" s="252"/>
      <c r="X123" s="252"/>
      <c r="Y123" s="252"/>
      <c r="Z123" s="252"/>
      <c r="AA123" s="26"/>
      <c r="AB123" s="252"/>
      <c r="AC123" s="252"/>
      <c r="AD123" s="252"/>
      <c r="AE123" s="252"/>
      <c r="AF123" s="252"/>
      <c r="AG123" s="26"/>
      <c r="AH123" s="252"/>
    </row>
    <row r="124" spans="1:34" ht="21" customHeight="1" thickBot="1" x14ac:dyDescent="0.25">
      <c r="A124" s="65" t="s">
        <v>24</v>
      </c>
      <c r="B124" s="418" t="s">
        <v>25</v>
      </c>
      <c r="C124" s="419"/>
      <c r="D124" s="326"/>
      <c r="E124" s="326"/>
      <c r="F124" s="326"/>
      <c r="G124" s="326"/>
      <c r="H124" s="326"/>
      <c r="I124" s="326"/>
      <c r="J124" s="326"/>
      <c r="K124" s="326"/>
      <c r="L124" s="326"/>
      <c r="M124" s="326"/>
      <c r="N124" s="326"/>
      <c r="O124" s="326"/>
      <c r="P124" s="326"/>
      <c r="Q124" s="326"/>
      <c r="R124" s="326"/>
      <c r="S124" s="326"/>
      <c r="T124" s="326"/>
      <c r="U124" s="326"/>
      <c r="V124" s="326"/>
      <c r="W124" s="326"/>
      <c r="X124" s="326"/>
      <c r="Y124" s="326"/>
      <c r="Z124" s="326"/>
      <c r="AA124" s="326"/>
      <c r="AB124" s="326"/>
      <c r="AC124" s="326"/>
      <c r="AD124" s="326"/>
      <c r="AE124" s="326"/>
      <c r="AF124" s="326"/>
      <c r="AG124" s="326"/>
      <c r="AH124" s="420"/>
    </row>
    <row r="125" spans="1:34" ht="15.75" customHeight="1" x14ac:dyDescent="0.2">
      <c r="A125" s="339"/>
      <c r="B125" s="327" t="s">
        <v>137</v>
      </c>
      <c r="C125" s="315" t="s">
        <v>26</v>
      </c>
      <c r="D125" s="416" t="s">
        <v>78</v>
      </c>
      <c r="E125" s="27">
        <v>5.0000000000000001E-3</v>
      </c>
      <c r="F125" s="27">
        <v>5.0000000000000001E-3</v>
      </c>
      <c r="G125" s="27">
        <v>5.0000000000000001E-3</v>
      </c>
      <c r="H125" s="27">
        <v>5.0000000000000001E-3</v>
      </c>
      <c r="I125" s="26"/>
      <c r="J125" s="27">
        <v>5.0000000000000001E-3</v>
      </c>
      <c r="K125" s="27">
        <v>5.0000000000000001E-3</v>
      </c>
      <c r="L125" s="27">
        <v>5.0000000000000001E-3</v>
      </c>
      <c r="M125" s="27">
        <v>5.0000000000000001E-3</v>
      </c>
      <c r="N125" s="27">
        <v>5.0000000000000001E-3</v>
      </c>
      <c r="O125" s="26"/>
      <c r="P125" s="27">
        <v>5.0000000000000001E-3</v>
      </c>
      <c r="Q125" s="27">
        <v>5.0000000000000001E-3</v>
      </c>
      <c r="R125" s="27">
        <v>5.0000000000000001E-3</v>
      </c>
      <c r="S125" s="27">
        <v>5.0000000000000001E-3</v>
      </c>
      <c r="T125" s="27">
        <v>5.0000000000000001E-3</v>
      </c>
      <c r="U125" s="26"/>
      <c r="V125" s="27">
        <v>5.0000000000000001E-3</v>
      </c>
      <c r="W125" s="27">
        <v>5.0000000000000001E-3</v>
      </c>
      <c r="X125" s="27">
        <v>5.0000000000000001E-3</v>
      </c>
      <c r="Y125" s="27">
        <v>5.0000000000000001E-3</v>
      </c>
      <c r="Z125" s="27">
        <v>5.0000000000000001E-3</v>
      </c>
      <c r="AA125" s="26"/>
      <c r="AB125" s="27">
        <v>5.0000000000000001E-3</v>
      </c>
      <c r="AC125" s="27">
        <v>5.0000000000000001E-3</v>
      </c>
      <c r="AD125" s="27">
        <v>5.0000000000000001E-3</v>
      </c>
      <c r="AE125" s="27">
        <v>5.0000000000000001E-3</v>
      </c>
      <c r="AF125" s="27">
        <v>5.0000000000000001E-3</v>
      </c>
      <c r="AG125" s="26"/>
      <c r="AH125" s="27">
        <v>5.0000000000000001E-3</v>
      </c>
    </row>
    <row r="126" spans="1:34" ht="15.75" customHeight="1" thickBot="1" x14ac:dyDescent="0.25">
      <c r="A126" s="339"/>
      <c r="B126" s="327"/>
      <c r="C126" s="315"/>
      <c r="D126" s="417"/>
      <c r="E126" s="27"/>
      <c r="F126" s="27"/>
      <c r="G126" s="27"/>
      <c r="H126" s="27"/>
      <c r="I126" s="26"/>
      <c r="J126" s="27"/>
      <c r="K126" s="27"/>
      <c r="L126" s="27"/>
      <c r="M126" s="27"/>
      <c r="N126" s="27"/>
      <c r="O126" s="26"/>
      <c r="P126" s="27"/>
      <c r="Q126" s="27"/>
      <c r="R126" s="27"/>
      <c r="S126" s="27"/>
      <c r="T126" s="27"/>
      <c r="U126" s="26"/>
      <c r="V126" s="27"/>
      <c r="W126" s="27"/>
      <c r="X126" s="27"/>
      <c r="Y126" s="27"/>
      <c r="Z126" s="27"/>
      <c r="AA126" s="26"/>
      <c r="AB126" s="27"/>
      <c r="AC126" s="27"/>
      <c r="AD126" s="27"/>
      <c r="AE126" s="27"/>
      <c r="AF126" s="27"/>
      <c r="AG126" s="26"/>
      <c r="AH126" s="27"/>
    </row>
    <row r="127" spans="1:34" ht="15.75" customHeight="1" x14ac:dyDescent="0.2">
      <c r="A127" s="339"/>
      <c r="B127" s="327"/>
      <c r="C127" s="315" t="s">
        <v>7</v>
      </c>
      <c r="D127" s="416"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7">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thickBot="1" x14ac:dyDescent="0.25">
      <c r="A128" s="339"/>
      <c r="B128" s="327"/>
      <c r="C128" s="315"/>
      <c r="D128" s="417"/>
      <c r="E128" s="254"/>
      <c r="F128" s="254"/>
      <c r="G128" s="254"/>
      <c r="H128" s="254"/>
      <c r="I128" s="26"/>
      <c r="J128" s="254"/>
      <c r="K128" s="254"/>
      <c r="L128" s="254"/>
      <c r="M128" s="254"/>
      <c r="N128" s="254"/>
      <c r="O128" s="26"/>
      <c r="P128" s="254"/>
      <c r="Q128" s="254"/>
      <c r="R128" s="254"/>
      <c r="S128" s="254"/>
      <c r="T128" s="254"/>
      <c r="U128" s="26"/>
      <c r="V128" s="27"/>
      <c r="W128" s="254"/>
      <c r="X128" s="254"/>
      <c r="Y128" s="254"/>
      <c r="Z128" s="254"/>
      <c r="AA128" s="26"/>
      <c r="AB128" s="254"/>
      <c r="AC128" s="254"/>
      <c r="AD128" s="254"/>
      <c r="AE128" s="254"/>
      <c r="AF128" s="254"/>
      <c r="AG128" s="26"/>
      <c r="AH128" s="254"/>
    </row>
    <row r="129" spans="1:34" ht="15.75" customHeight="1" x14ac:dyDescent="0.2">
      <c r="A129" s="339"/>
      <c r="B129" s="327"/>
      <c r="C129" s="315" t="s">
        <v>8</v>
      </c>
      <c r="D129" s="416"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7">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thickBot="1" x14ac:dyDescent="0.25">
      <c r="A130" s="339"/>
      <c r="B130" s="327"/>
      <c r="C130" s="315"/>
      <c r="D130" s="417"/>
      <c r="E130" s="254"/>
      <c r="F130" s="254"/>
      <c r="G130" s="254"/>
      <c r="H130" s="254"/>
      <c r="I130" s="26"/>
      <c r="J130" s="254"/>
      <c r="K130" s="254"/>
      <c r="L130" s="254"/>
      <c r="M130" s="254"/>
      <c r="N130" s="254"/>
      <c r="O130" s="26"/>
      <c r="P130" s="254"/>
      <c r="Q130" s="254"/>
      <c r="R130" s="254"/>
      <c r="S130" s="254"/>
      <c r="T130" s="254"/>
      <c r="U130" s="26"/>
      <c r="V130" s="27"/>
      <c r="W130" s="254"/>
      <c r="X130" s="254"/>
      <c r="Y130" s="254"/>
      <c r="Z130" s="254"/>
      <c r="AA130" s="26"/>
      <c r="AB130" s="254"/>
      <c r="AC130" s="254"/>
      <c r="AD130" s="254"/>
      <c r="AE130" s="254"/>
      <c r="AF130" s="254"/>
      <c r="AG130" s="26"/>
      <c r="AH130" s="254"/>
    </row>
    <row r="131" spans="1:34" ht="15.75" customHeight="1" x14ac:dyDescent="0.2">
      <c r="A131" s="339"/>
      <c r="B131" s="327" t="s">
        <v>138</v>
      </c>
      <c r="C131" s="315" t="s">
        <v>26</v>
      </c>
      <c r="D131" s="416"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7">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ht="15.75" customHeight="1" thickBot="1" x14ac:dyDescent="0.25">
      <c r="A132" s="339"/>
      <c r="B132" s="327"/>
      <c r="C132" s="315"/>
      <c r="D132" s="417"/>
      <c r="E132" s="254"/>
      <c r="F132" s="254"/>
      <c r="G132" s="254"/>
      <c r="H132" s="254"/>
      <c r="I132" s="26"/>
      <c r="J132" s="254"/>
      <c r="K132" s="254"/>
      <c r="L132" s="254"/>
      <c r="M132" s="254"/>
      <c r="N132" s="254"/>
      <c r="O132" s="26"/>
      <c r="P132" s="254"/>
      <c r="Q132" s="254"/>
      <c r="R132" s="254"/>
      <c r="S132" s="254"/>
      <c r="T132" s="254"/>
      <c r="U132" s="26"/>
      <c r="V132" s="27"/>
      <c r="W132" s="254"/>
      <c r="X132" s="254"/>
      <c r="Y132" s="254"/>
      <c r="Z132" s="254"/>
      <c r="AA132" s="26"/>
      <c r="AB132" s="254"/>
      <c r="AC132" s="254"/>
      <c r="AD132" s="254"/>
      <c r="AE132" s="254"/>
      <c r="AF132" s="254"/>
      <c r="AG132" s="26"/>
      <c r="AH132" s="254"/>
    </row>
    <row r="133" spans="1:34" ht="15.75" customHeight="1" x14ac:dyDescent="0.2">
      <c r="A133" s="339"/>
      <c r="B133" s="327"/>
      <c r="C133" s="315" t="s">
        <v>7</v>
      </c>
      <c r="D133" s="416"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9">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thickBot="1" x14ac:dyDescent="0.25">
      <c r="A134" s="339"/>
      <c r="B134" s="327"/>
      <c r="C134" s="315"/>
      <c r="D134" s="417"/>
      <c r="E134" s="252"/>
      <c r="F134" s="252"/>
      <c r="G134" s="252"/>
      <c r="H134" s="252"/>
      <c r="I134" s="26"/>
      <c r="J134" s="252"/>
      <c r="K134" s="252"/>
      <c r="L134" s="252"/>
      <c r="M134" s="252"/>
      <c r="N134" s="252"/>
      <c r="O134" s="26"/>
      <c r="P134" s="252"/>
      <c r="Q134" s="252"/>
      <c r="R134" s="252"/>
      <c r="S134" s="252"/>
      <c r="T134" s="252"/>
      <c r="U134" s="26"/>
      <c r="V134" s="29"/>
      <c r="W134" s="252"/>
      <c r="X134" s="252"/>
      <c r="Y134" s="252"/>
      <c r="Z134" s="252"/>
      <c r="AA134" s="26"/>
      <c r="AB134" s="252"/>
      <c r="AC134" s="252"/>
      <c r="AD134" s="252"/>
      <c r="AE134" s="252"/>
      <c r="AF134" s="252"/>
      <c r="AG134" s="26"/>
      <c r="AH134" s="252"/>
    </row>
    <row r="135" spans="1:34" ht="15.75" customHeight="1" x14ac:dyDescent="0.2">
      <c r="A135" s="339"/>
      <c r="B135" s="327"/>
      <c r="C135" s="315" t="s">
        <v>8</v>
      </c>
      <c r="D135" s="416"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7">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15.75" customHeight="1" thickBot="1" x14ac:dyDescent="0.25">
      <c r="A136" s="339"/>
      <c r="B136" s="327"/>
      <c r="C136" s="315"/>
      <c r="D136" s="417"/>
      <c r="E136" s="254"/>
      <c r="F136" s="254"/>
      <c r="G136" s="254"/>
      <c r="H136" s="254"/>
      <c r="I136" s="26"/>
      <c r="J136" s="254"/>
      <c r="K136" s="254"/>
      <c r="L136" s="254"/>
      <c r="M136" s="254"/>
      <c r="N136" s="254"/>
      <c r="O136" s="26"/>
      <c r="P136" s="254"/>
      <c r="Q136" s="254"/>
      <c r="R136" s="254"/>
      <c r="S136" s="254"/>
      <c r="T136" s="254"/>
      <c r="U136" s="26"/>
      <c r="V136" s="27"/>
      <c r="W136" s="254"/>
      <c r="X136" s="254"/>
      <c r="Y136" s="254"/>
      <c r="Z136" s="254"/>
      <c r="AA136" s="26"/>
      <c r="AB136" s="254"/>
      <c r="AC136" s="254"/>
      <c r="AD136" s="254"/>
      <c r="AE136" s="254"/>
      <c r="AF136" s="254"/>
      <c r="AG136" s="26"/>
      <c r="AH136" s="254"/>
    </row>
    <row r="137" spans="1:34" ht="15.75" customHeight="1" x14ac:dyDescent="0.2">
      <c r="A137" s="339"/>
      <c r="B137" s="327" t="s">
        <v>87</v>
      </c>
      <c r="C137" s="338" t="s">
        <v>6</v>
      </c>
      <c r="D137" s="416"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7">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ht="15.75" customHeight="1" thickBot="1" x14ac:dyDescent="0.25">
      <c r="A138" s="339"/>
      <c r="B138" s="327"/>
      <c r="C138" s="338"/>
      <c r="D138" s="417"/>
      <c r="E138" s="254"/>
      <c r="F138" s="254"/>
      <c r="G138" s="254"/>
      <c r="H138" s="254"/>
      <c r="I138" s="26"/>
      <c r="J138" s="254"/>
      <c r="K138" s="254"/>
      <c r="L138" s="254"/>
      <c r="M138" s="254"/>
      <c r="N138" s="254"/>
      <c r="O138" s="26"/>
      <c r="P138" s="254"/>
      <c r="Q138" s="254"/>
      <c r="R138" s="254"/>
      <c r="S138" s="254"/>
      <c r="T138" s="254"/>
      <c r="U138" s="26"/>
      <c r="V138" s="27"/>
      <c r="W138" s="254"/>
      <c r="X138" s="254"/>
      <c r="Y138" s="254"/>
      <c r="Z138" s="254"/>
      <c r="AA138" s="26"/>
      <c r="AB138" s="254"/>
      <c r="AC138" s="254"/>
      <c r="AD138" s="254"/>
      <c r="AE138" s="254"/>
      <c r="AF138" s="254"/>
      <c r="AG138" s="26"/>
      <c r="AH138" s="254"/>
    </row>
    <row r="139" spans="1:34" ht="15.75" customHeight="1" x14ac:dyDescent="0.2">
      <c r="A139" s="339"/>
      <c r="B139" s="327"/>
      <c r="C139" s="338" t="s">
        <v>7</v>
      </c>
      <c r="D139" s="416"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9">
        <v>0.01</v>
      </c>
      <c r="W139" s="252">
        <v>0.01</v>
      </c>
      <c r="X139" s="252">
        <v>0.01</v>
      </c>
      <c r="Y139" s="252">
        <v>0.01</v>
      </c>
      <c r="Z139" s="252">
        <v>0.01</v>
      </c>
      <c r="AA139" s="26"/>
      <c r="AB139" s="252">
        <v>0.01</v>
      </c>
      <c r="AC139" s="252">
        <v>0.01</v>
      </c>
      <c r="AD139" s="252">
        <v>0.01</v>
      </c>
      <c r="AE139" s="252">
        <v>0.01</v>
      </c>
      <c r="AF139" s="252">
        <v>0.01</v>
      </c>
      <c r="AG139" s="26"/>
      <c r="AH139" s="252">
        <v>0.01</v>
      </c>
    </row>
    <row r="140" spans="1:34" ht="15.75" customHeight="1" thickBot="1" x14ac:dyDescent="0.25">
      <c r="A140" s="339"/>
      <c r="B140" s="327"/>
      <c r="C140" s="338"/>
      <c r="D140" s="417"/>
      <c r="E140" s="252"/>
      <c r="F140" s="252"/>
      <c r="G140" s="252"/>
      <c r="H140" s="252"/>
      <c r="I140" s="26"/>
      <c r="J140" s="252"/>
      <c r="K140" s="252"/>
      <c r="L140" s="252"/>
      <c r="M140" s="252"/>
      <c r="N140" s="252"/>
      <c r="O140" s="26"/>
      <c r="P140" s="252"/>
      <c r="Q140" s="252"/>
      <c r="R140" s="252"/>
      <c r="S140" s="252"/>
      <c r="T140" s="252"/>
      <c r="U140" s="26"/>
      <c r="V140" s="29"/>
      <c r="W140" s="252"/>
      <c r="X140" s="252"/>
      <c r="Y140" s="252"/>
      <c r="Z140" s="252"/>
      <c r="AA140" s="26"/>
      <c r="AB140" s="252"/>
      <c r="AC140" s="252"/>
      <c r="AD140" s="252"/>
      <c r="AE140" s="252"/>
      <c r="AF140" s="252"/>
      <c r="AG140" s="26"/>
      <c r="AH140" s="252"/>
    </row>
    <row r="141" spans="1:34" ht="15.75" customHeight="1" x14ac:dyDescent="0.2">
      <c r="A141" s="339"/>
      <c r="B141" s="327"/>
      <c r="C141" s="338" t="s">
        <v>8</v>
      </c>
      <c r="D141" s="416"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7">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ht="15.75" customHeight="1" thickBot="1" x14ac:dyDescent="0.25">
      <c r="A142" s="339"/>
      <c r="B142" s="327"/>
      <c r="C142" s="338"/>
      <c r="D142" s="417"/>
      <c r="E142" s="254"/>
      <c r="F142" s="254"/>
      <c r="G142" s="254"/>
      <c r="H142" s="254"/>
      <c r="I142" s="26"/>
      <c r="J142" s="254"/>
      <c r="K142" s="254"/>
      <c r="L142" s="254"/>
      <c r="M142" s="254"/>
      <c r="N142" s="254"/>
      <c r="O142" s="26"/>
      <c r="P142" s="254"/>
      <c r="Q142" s="254"/>
      <c r="R142" s="254"/>
      <c r="S142" s="254"/>
      <c r="T142" s="254"/>
      <c r="U142" s="26"/>
      <c r="V142" s="27"/>
      <c r="W142" s="254"/>
      <c r="X142" s="254"/>
      <c r="Y142" s="254"/>
      <c r="Z142" s="254"/>
      <c r="AA142" s="26"/>
      <c r="AB142" s="254"/>
      <c r="AC142" s="254"/>
      <c r="AD142" s="254"/>
      <c r="AE142" s="254"/>
      <c r="AF142" s="254"/>
      <c r="AG142" s="26"/>
      <c r="AH142" s="254"/>
    </row>
    <row r="143" spans="1:34" ht="15.75" customHeight="1" thickBot="1" x14ac:dyDescent="0.25">
      <c r="A143" s="339"/>
      <c r="B143" s="327" t="s">
        <v>139</v>
      </c>
      <c r="C143" s="75" t="s">
        <v>6</v>
      </c>
      <c r="D143" s="146" t="s">
        <v>135</v>
      </c>
      <c r="E143" s="23">
        <v>5</v>
      </c>
      <c r="F143" s="23">
        <v>5</v>
      </c>
      <c r="G143" s="23">
        <v>5</v>
      </c>
      <c r="H143" s="23">
        <v>5</v>
      </c>
      <c r="I143" s="26"/>
      <c r="J143" s="41">
        <v>20</v>
      </c>
      <c r="K143" s="23">
        <v>5</v>
      </c>
      <c r="L143" s="23">
        <v>5</v>
      </c>
      <c r="M143" s="23">
        <v>5</v>
      </c>
      <c r="N143" s="23">
        <v>5</v>
      </c>
      <c r="O143" s="26"/>
      <c r="P143" s="41">
        <v>20</v>
      </c>
      <c r="Q143" s="23">
        <v>5</v>
      </c>
      <c r="R143" s="23">
        <v>5</v>
      </c>
      <c r="S143" s="23">
        <v>5</v>
      </c>
      <c r="T143" s="23">
        <v>5</v>
      </c>
      <c r="U143" s="26"/>
      <c r="V143" s="41">
        <v>20</v>
      </c>
      <c r="W143" s="23">
        <v>5</v>
      </c>
      <c r="X143" s="23">
        <v>5</v>
      </c>
      <c r="Y143" s="23">
        <v>5</v>
      </c>
      <c r="Z143" s="23">
        <v>5</v>
      </c>
      <c r="AA143" s="26"/>
      <c r="AB143" s="41">
        <v>20</v>
      </c>
      <c r="AC143" s="23">
        <v>5</v>
      </c>
      <c r="AD143" s="23">
        <v>5</v>
      </c>
      <c r="AE143" s="23">
        <v>5</v>
      </c>
      <c r="AF143" s="23">
        <v>5</v>
      </c>
      <c r="AG143" s="26"/>
      <c r="AH143" s="41">
        <v>20</v>
      </c>
    </row>
    <row r="144" spans="1:34" ht="10.8" thickBot="1" x14ac:dyDescent="0.25">
      <c r="A144" s="339"/>
      <c r="B144" s="327"/>
      <c r="C144" s="75" t="s">
        <v>7</v>
      </c>
      <c r="D144" s="146" t="s">
        <v>135</v>
      </c>
      <c r="E144" s="23">
        <v>0</v>
      </c>
      <c r="F144" s="23">
        <v>0</v>
      </c>
      <c r="G144" s="24"/>
      <c r="H144" s="24">
        <v>1</v>
      </c>
      <c r="I144" s="26"/>
      <c r="J144" s="41">
        <v>1</v>
      </c>
      <c r="K144" s="23">
        <v>0</v>
      </c>
      <c r="L144" s="23">
        <v>0</v>
      </c>
      <c r="M144" s="24"/>
      <c r="N144" s="24">
        <v>1</v>
      </c>
      <c r="O144" s="26"/>
      <c r="P144" s="41">
        <v>1</v>
      </c>
      <c r="Q144" s="23">
        <v>0</v>
      </c>
      <c r="R144" s="23">
        <v>0</v>
      </c>
      <c r="S144" s="24"/>
      <c r="T144" s="24">
        <v>1</v>
      </c>
      <c r="U144" s="26"/>
      <c r="V144" s="41">
        <v>1</v>
      </c>
      <c r="W144" s="23">
        <v>0</v>
      </c>
      <c r="X144" s="23">
        <v>0</v>
      </c>
      <c r="Y144" s="24"/>
      <c r="Z144" s="24">
        <v>1</v>
      </c>
      <c r="AA144" s="26"/>
      <c r="AB144" s="41">
        <v>1</v>
      </c>
      <c r="AC144" s="23">
        <v>0</v>
      </c>
      <c r="AD144" s="23">
        <v>0</v>
      </c>
      <c r="AE144" s="24"/>
      <c r="AF144" s="24">
        <v>1</v>
      </c>
      <c r="AG144" s="26"/>
      <c r="AH144" s="41">
        <v>1</v>
      </c>
    </row>
    <row r="145" spans="1:34" ht="10.8" thickBot="1" x14ac:dyDescent="0.25">
      <c r="A145" s="339"/>
      <c r="B145" s="327"/>
      <c r="C145" s="75" t="s">
        <v>8</v>
      </c>
      <c r="D145" s="146" t="s">
        <v>135</v>
      </c>
      <c r="E145" s="23">
        <v>2</v>
      </c>
      <c r="F145" s="23">
        <v>2</v>
      </c>
      <c r="G145" s="23">
        <v>2</v>
      </c>
      <c r="H145" s="23">
        <v>4</v>
      </c>
      <c r="I145" s="26"/>
      <c r="J145" s="41">
        <v>10</v>
      </c>
      <c r="K145" s="23">
        <v>2</v>
      </c>
      <c r="L145" s="23">
        <v>2</v>
      </c>
      <c r="M145" s="23">
        <v>2</v>
      </c>
      <c r="N145" s="23">
        <v>4</v>
      </c>
      <c r="O145" s="26"/>
      <c r="P145" s="41">
        <v>10</v>
      </c>
      <c r="Q145" s="23">
        <v>2</v>
      </c>
      <c r="R145" s="23">
        <v>2</v>
      </c>
      <c r="S145" s="23">
        <v>2</v>
      </c>
      <c r="T145" s="23">
        <v>4</v>
      </c>
      <c r="U145" s="26"/>
      <c r="V145" s="41">
        <v>10</v>
      </c>
      <c r="W145" s="23">
        <v>2</v>
      </c>
      <c r="X145" s="23">
        <v>2</v>
      </c>
      <c r="Y145" s="23">
        <v>2</v>
      </c>
      <c r="Z145" s="23">
        <v>4</v>
      </c>
      <c r="AA145" s="26"/>
      <c r="AB145" s="41">
        <v>10</v>
      </c>
      <c r="AC145" s="23">
        <v>2</v>
      </c>
      <c r="AD145" s="23">
        <v>2</v>
      </c>
      <c r="AE145" s="23">
        <v>2</v>
      </c>
      <c r="AF145" s="23">
        <v>4</v>
      </c>
      <c r="AG145" s="26"/>
      <c r="AH145" s="41">
        <v>10</v>
      </c>
    </row>
    <row r="146" spans="1:34" ht="15.75" customHeight="1" x14ac:dyDescent="0.2">
      <c r="A146" s="339"/>
      <c r="B146" s="327" t="s">
        <v>140</v>
      </c>
      <c r="C146" s="315" t="s">
        <v>26</v>
      </c>
      <c r="D146" s="416"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9">
        <v>0.5</v>
      </c>
      <c r="W146" s="252">
        <v>0.5</v>
      </c>
      <c r="X146" s="252">
        <v>0.5</v>
      </c>
      <c r="Y146" s="252">
        <v>0.5</v>
      </c>
      <c r="Z146" s="252">
        <v>0.5</v>
      </c>
      <c r="AA146" s="26"/>
      <c r="AB146" s="252">
        <v>0.5</v>
      </c>
      <c r="AC146" s="252">
        <v>0.5</v>
      </c>
      <c r="AD146" s="252">
        <v>0.5</v>
      </c>
      <c r="AE146" s="252">
        <v>0.5</v>
      </c>
      <c r="AF146" s="252">
        <v>0.5</v>
      </c>
      <c r="AG146" s="26"/>
      <c r="AH146" s="252">
        <v>0.5</v>
      </c>
    </row>
    <row r="147" spans="1:34" ht="15.75" customHeight="1" thickBot="1" x14ac:dyDescent="0.25">
      <c r="A147" s="339"/>
      <c r="B147" s="327"/>
      <c r="C147" s="315"/>
      <c r="D147" s="417"/>
      <c r="E147" s="252"/>
      <c r="F147" s="252"/>
      <c r="G147" s="252"/>
      <c r="H147" s="252"/>
      <c r="I147" s="26"/>
      <c r="J147" s="252"/>
      <c r="K147" s="252"/>
      <c r="L147" s="252"/>
      <c r="M147" s="252"/>
      <c r="N147" s="252"/>
      <c r="O147" s="26"/>
      <c r="P147" s="252"/>
      <c r="Q147" s="252"/>
      <c r="R147" s="252"/>
      <c r="S147" s="252"/>
      <c r="T147" s="252"/>
      <c r="U147" s="26"/>
      <c r="V147" s="29"/>
      <c r="W147" s="252"/>
      <c r="X147" s="252"/>
      <c r="Y147" s="252"/>
      <c r="Z147" s="252"/>
      <c r="AA147" s="26"/>
      <c r="AB147" s="252"/>
      <c r="AC147" s="252"/>
      <c r="AD147" s="252"/>
      <c r="AE147" s="252"/>
      <c r="AF147" s="252"/>
      <c r="AG147" s="26"/>
      <c r="AH147" s="252"/>
    </row>
    <row r="148" spans="1:34" ht="15.75" customHeight="1" x14ac:dyDescent="0.2">
      <c r="A148" s="339"/>
      <c r="B148" s="327"/>
      <c r="C148" s="338" t="s">
        <v>7</v>
      </c>
      <c r="D148" s="416"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9">
        <v>1</v>
      </c>
      <c r="W148" s="252">
        <v>1</v>
      </c>
      <c r="X148" s="252">
        <v>1</v>
      </c>
      <c r="Y148" s="252">
        <v>1</v>
      </c>
      <c r="Z148" s="252">
        <v>1</v>
      </c>
      <c r="AA148" s="26"/>
      <c r="AB148" s="252">
        <v>1</v>
      </c>
      <c r="AC148" s="252">
        <v>1</v>
      </c>
      <c r="AD148" s="252">
        <v>1</v>
      </c>
      <c r="AE148" s="252">
        <v>1</v>
      </c>
      <c r="AF148" s="252">
        <v>1</v>
      </c>
      <c r="AG148" s="26"/>
      <c r="AH148" s="252">
        <v>1</v>
      </c>
    </row>
    <row r="149" spans="1:34" ht="15.75" customHeight="1" thickBot="1" x14ac:dyDescent="0.25">
      <c r="A149" s="339"/>
      <c r="B149" s="327"/>
      <c r="C149" s="338"/>
      <c r="D149" s="417"/>
      <c r="E149" s="252"/>
      <c r="F149" s="252"/>
      <c r="G149" s="252"/>
      <c r="H149" s="252"/>
      <c r="I149" s="26"/>
      <c r="J149" s="252"/>
      <c r="K149" s="252"/>
      <c r="L149" s="252"/>
      <c r="M149" s="252"/>
      <c r="N149" s="252"/>
      <c r="O149" s="26"/>
      <c r="P149" s="252"/>
      <c r="Q149" s="252"/>
      <c r="R149" s="252"/>
      <c r="S149" s="252"/>
      <c r="T149" s="252"/>
      <c r="U149" s="26"/>
      <c r="V149" s="29"/>
      <c r="W149" s="252"/>
      <c r="X149" s="252"/>
      <c r="Y149" s="252"/>
      <c r="Z149" s="252"/>
      <c r="AA149" s="26"/>
      <c r="AB149" s="252"/>
      <c r="AC149" s="252"/>
      <c r="AD149" s="252"/>
      <c r="AE149" s="252"/>
      <c r="AF149" s="252"/>
      <c r="AG149" s="26"/>
      <c r="AH149" s="252"/>
    </row>
    <row r="150" spans="1:34" ht="15.75" customHeight="1" x14ac:dyDescent="0.2">
      <c r="A150" s="339"/>
      <c r="B150" s="327"/>
      <c r="C150" s="315" t="s">
        <v>8</v>
      </c>
      <c r="D150" s="416"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9">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thickBot="1" x14ac:dyDescent="0.25">
      <c r="A151" s="311"/>
      <c r="B151" s="327"/>
      <c r="C151" s="315"/>
      <c r="D151" s="417"/>
      <c r="E151" s="252"/>
      <c r="F151" s="252"/>
      <c r="G151" s="252"/>
      <c r="H151" s="252"/>
      <c r="I151" s="26"/>
      <c r="J151" s="252"/>
      <c r="K151" s="252"/>
      <c r="L151" s="252"/>
      <c r="M151" s="252"/>
      <c r="N151" s="252"/>
      <c r="O151" s="26"/>
      <c r="P151" s="252"/>
      <c r="Q151" s="252"/>
      <c r="R151" s="252"/>
      <c r="S151" s="252"/>
      <c r="T151" s="252"/>
      <c r="U151" s="26"/>
      <c r="V151" s="29"/>
      <c r="W151" s="252"/>
      <c r="X151" s="252"/>
      <c r="Y151" s="252"/>
      <c r="Z151" s="252"/>
      <c r="AA151" s="26"/>
      <c r="AB151" s="252"/>
      <c r="AC151" s="252"/>
      <c r="AD151" s="252"/>
      <c r="AE151" s="252"/>
      <c r="AF151" s="252"/>
      <c r="AG151" s="26"/>
      <c r="AH151" s="252"/>
    </row>
    <row r="152" spans="1:34" ht="10.8" thickBot="1" x14ac:dyDescent="0.25">
      <c r="A152" s="65">
        <v>1.6</v>
      </c>
      <c r="B152" s="438" t="s">
        <v>27</v>
      </c>
      <c r="C152" s="439"/>
      <c r="D152" s="326"/>
      <c r="E152" s="326"/>
      <c r="F152" s="326"/>
      <c r="G152" s="326"/>
      <c r="H152" s="326"/>
      <c r="I152" s="326"/>
      <c r="J152" s="326"/>
      <c r="K152" s="326"/>
      <c r="L152" s="326"/>
      <c r="M152" s="326"/>
      <c r="N152" s="326"/>
      <c r="O152" s="326"/>
      <c r="P152" s="326"/>
      <c r="Q152" s="326"/>
      <c r="R152" s="326"/>
      <c r="S152" s="326"/>
      <c r="T152" s="326"/>
      <c r="U152" s="326"/>
      <c r="V152" s="326"/>
      <c r="W152" s="326"/>
      <c r="X152" s="326"/>
      <c r="Y152" s="326"/>
      <c r="Z152" s="326"/>
      <c r="AA152" s="326"/>
      <c r="AB152" s="326"/>
      <c r="AC152" s="326"/>
      <c r="AD152" s="326"/>
      <c r="AE152" s="326"/>
      <c r="AF152" s="326"/>
      <c r="AG152" s="326"/>
      <c r="AH152" s="420"/>
    </row>
    <row r="153" spans="1:34" ht="15.75" customHeight="1" x14ac:dyDescent="0.2">
      <c r="A153" s="315"/>
      <c r="B153" s="327" t="s">
        <v>126</v>
      </c>
      <c r="C153" s="315" t="s">
        <v>26</v>
      </c>
      <c r="D153" s="416" t="s">
        <v>78</v>
      </c>
      <c r="E153" s="254">
        <v>5.0000000000000001E-4</v>
      </c>
      <c r="F153" s="254">
        <v>5.0000000000000001E-4</v>
      </c>
      <c r="G153" s="254">
        <v>5.0000000000000001E-4</v>
      </c>
      <c r="H153" s="254">
        <v>5.0000000000000001E-4</v>
      </c>
      <c r="I153" s="29"/>
      <c r="J153" s="254">
        <v>5.0000000000000001E-4</v>
      </c>
      <c r="K153" s="254">
        <v>5.0000000000000001E-4</v>
      </c>
      <c r="L153" s="254">
        <v>5.0000000000000001E-4</v>
      </c>
      <c r="M153" s="254">
        <v>5.0000000000000001E-4</v>
      </c>
      <c r="N153" s="254">
        <v>5.0000000000000001E-4</v>
      </c>
      <c r="O153" s="26"/>
      <c r="P153" s="254">
        <v>5.0000000000000001E-4</v>
      </c>
      <c r="Q153" s="254">
        <v>5.0000000000000001E-4</v>
      </c>
      <c r="R153" s="254">
        <v>5.0000000000000001E-4</v>
      </c>
      <c r="S153" s="254">
        <v>5.0000000000000001E-4</v>
      </c>
      <c r="T153" s="254">
        <v>5.0000000000000001E-4</v>
      </c>
      <c r="U153" s="26"/>
      <c r="V153" s="254">
        <v>5.0000000000000001E-4</v>
      </c>
      <c r="W153" s="254">
        <v>5.0000000000000001E-4</v>
      </c>
      <c r="X153" s="254">
        <v>5.0000000000000001E-4</v>
      </c>
      <c r="Y153" s="254">
        <v>5.0000000000000001E-4</v>
      </c>
      <c r="Z153" s="254">
        <v>5.0000000000000001E-4</v>
      </c>
      <c r="AA153" s="26"/>
      <c r="AB153" s="254">
        <v>5.0000000000000001E-4</v>
      </c>
      <c r="AC153" s="254">
        <v>5.0000000000000001E-4</v>
      </c>
      <c r="AD153" s="254">
        <v>5.0000000000000001E-4</v>
      </c>
      <c r="AE153" s="254">
        <v>5.0000000000000001E-4</v>
      </c>
      <c r="AF153" s="254">
        <v>5.0000000000000001E-4</v>
      </c>
      <c r="AG153" s="26"/>
      <c r="AH153" s="254">
        <v>5.0000000000000001E-4</v>
      </c>
    </row>
    <row r="154" spans="1:34" ht="15.75" customHeight="1" thickBot="1" x14ac:dyDescent="0.25">
      <c r="A154" s="315"/>
      <c r="B154" s="327"/>
      <c r="C154" s="315"/>
      <c r="D154" s="417"/>
      <c r="E154" s="254"/>
      <c r="F154" s="254"/>
      <c r="G154" s="254"/>
      <c r="H154" s="254"/>
      <c r="I154" s="26"/>
      <c r="J154" s="254"/>
      <c r="K154" s="254"/>
      <c r="L154" s="254"/>
      <c r="M154" s="254"/>
      <c r="N154" s="254"/>
      <c r="O154" s="26"/>
      <c r="P154" s="254"/>
      <c r="Q154" s="254"/>
      <c r="R154" s="254"/>
      <c r="S154" s="254"/>
      <c r="T154" s="254"/>
      <c r="U154" s="26"/>
      <c r="V154" s="254"/>
      <c r="W154" s="254"/>
      <c r="X154" s="254"/>
      <c r="Y154" s="254"/>
      <c r="Z154" s="254"/>
      <c r="AA154" s="26"/>
      <c r="AB154" s="254"/>
      <c r="AC154" s="254"/>
      <c r="AD154" s="254"/>
      <c r="AE154" s="254"/>
      <c r="AF154" s="254"/>
      <c r="AG154" s="26"/>
      <c r="AH154" s="254"/>
    </row>
    <row r="155" spans="1:34" ht="15.75" customHeight="1" x14ac:dyDescent="0.2">
      <c r="A155" s="315"/>
      <c r="B155" s="327"/>
      <c r="C155" s="315" t="s">
        <v>7</v>
      </c>
      <c r="D155" s="416"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thickBot="1" x14ac:dyDescent="0.25">
      <c r="A156" s="315"/>
      <c r="B156" s="327"/>
      <c r="C156" s="315"/>
      <c r="D156" s="417"/>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315"/>
      <c r="B157" s="327"/>
      <c r="C157" s="315" t="s">
        <v>8</v>
      </c>
      <c r="D157" s="416"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thickBot="1" x14ac:dyDescent="0.25">
      <c r="A158" s="315"/>
      <c r="B158" s="327"/>
      <c r="C158" s="315"/>
      <c r="D158" s="417"/>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315"/>
      <c r="B159" s="327" t="s">
        <v>127</v>
      </c>
      <c r="C159" s="315" t="s">
        <v>26</v>
      </c>
      <c r="D159" s="416" t="s">
        <v>78</v>
      </c>
      <c r="E159" s="254">
        <v>5.0000000000000001E-4</v>
      </c>
      <c r="F159" s="254">
        <v>5.0000000000000001E-4</v>
      </c>
      <c r="G159" s="254">
        <v>5.0000000000000001E-4</v>
      </c>
      <c r="H159" s="254">
        <v>5.0000000000000001E-4</v>
      </c>
      <c r="I159" s="26"/>
      <c r="J159" s="254">
        <v>5.0000000000000001E-4</v>
      </c>
      <c r="K159" s="254">
        <v>5.0000000000000001E-4</v>
      </c>
      <c r="L159" s="254">
        <v>5.0000000000000001E-4</v>
      </c>
      <c r="M159" s="254">
        <v>5.0000000000000001E-4</v>
      </c>
      <c r="N159" s="254">
        <v>5.0000000000000001E-4</v>
      </c>
      <c r="O159" s="26"/>
      <c r="P159" s="254">
        <v>5.0000000000000001E-4</v>
      </c>
      <c r="Q159" s="254">
        <v>5.0000000000000001E-4</v>
      </c>
      <c r="R159" s="254">
        <v>5.0000000000000001E-4</v>
      </c>
      <c r="S159" s="254">
        <v>5.0000000000000001E-4</v>
      </c>
      <c r="T159" s="254">
        <v>5.0000000000000001E-4</v>
      </c>
      <c r="U159" s="26"/>
      <c r="V159" s="254">
        <v>5.0000000000000001E-4</v>
      </c>
      <c r="W159" s="254">
        <v>5.0000000000000001E-4</v>
      </c>
      <c r="X159" s="254">
        <v>5.0000000000000001E-4</v>
      </c>
      <c r="Y159" s="254">
        <v>5.0000000000000001E-4</v>
      </c>
      <c r="Z159" s="254">
        <v>5.0000000000000001E-4</v>
      </c>
      <c r="AA159" s="26"/>
      <c r="AB159" s="254">
        <v>5.0000000000000001E-4</v>
      </c>
      <c r="AC159" s="254">
        <v>5.0000000000000001E-4</v>
      </c>
      <c r="AD159" s="254">
        <v>5.0000000000000001E-4</v>
      </c>
      <c r="AE159" s="254">
        <v>5.0000000000000001E-4</v>
      </c>
      <c r="AF159" s="254">
        <v>5.0000000000000001E-4</v>
      </c>
      <c r="AG159" s="26"/>
      <c r="AH159" s="254">
        <v>5.0000000000000001E-4</v>
      </c>
    </row>
    <row r="160" spans="1:34" ht="15.75" customHeight="1" thickBot="1" x14ac:dyDescent="0.25">
      <c r="A160" s="315"/>
      <c r="B160" s="327"/>
      <c r="C160" s="315"/>
      <c r="D160" s="417"/>
      <c r="E160" s="254"/>
      <c r="F160" s="254"/>
      <c r="G160" s="254"/>
      <c r="H160" s="254"/>
      <c r="I160" s="26"/>
      <c r="J160" s="254"/>
      <c r="K160" s="254"/>
      <c r="L160" s="254"/>
      <c r="M160" s="254"/>
      <c r="N160" s="254"/>
      <c r="O160" s="26"/>
      <c r="P160" s="254"/>
      <c r="Q160" s="254"/>
      <c r="R160" s="254"/>
      <c r="S160" s="254"/>
      <c r="T160" s="254"/>
      <c r="U160" s="26"/>
      <c r="V160" s="254"/>
      <c r="W160" s="254"/>
      <c r="X160" s="254"/>
      <c r="Y160" s="254"/>
      <c r="Z160" s="254"/>
      <c r="AA160" s="26"/>
      <c r="AB160" s="254"/>
      <c r="AC160" s="254"/>
      <c r="AD160" s="254"/>
      <c r="AE160" s="254"/>
      <c r="AF160" s="254"/>
      <c r="AG160" s="26"/>
      <c r="AH160" s="254"/>
    </row>
    <row r="161" spans="1:34" ht="15.75" customHeight="1" x14ac:dyDescent="0.2">
      <c r="A161" s="315"/>
      <c r="B161" s="327"/>
      <c r="C161" s="315" t="s">
        <v>7</v>
      </c>
      <c r="D161" s="416"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thickBot="1" x14ac:dyDescent="0.25">
      <c r="A162" s="315"/>
      <c r="B162" s="327"/>
      <c r="C162" s="315"/>
      <c r="D162" s="417"/>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315"/>
      <c r="B163" s="327"/>
      <c r="C163" s="315" t="s">
        <v>8</v>
      </c>
      <c r="D163" s="416"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thickBot="1" x14ac:dyDescent="0.25">
      <c r="A164" s="315"/>
      <c r="B164" s="327"/>
      <c r="C164" s="315"/>
      <c r="D164" s="417"/>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315"/>
      <c r="B165" s="327" t="s">
        <v>128</v>
      </c>
      <c r="C165" s="327" t="s">
        <v>6</v>
      </c>
      <c r="D165" s="416"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thickBot="1" x14ac:dyDescent="0.25">
      <c r="A166" s="315"/>
      <c r="B166" s="327"/>
      <c r="C166" s="327"/>
      <c r="D166" s="417"/>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315"/>
      <c r="B167" s="327"/>
      <c r="C167" s="327" t="s">
        <v>7</v>
      </c>
      <c r="D167" s="416"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thickBot="1" x14ac:dyDescent="0.25">
      <c r="A168" s="315"/>
      <c r="B168" s="327"/>
      <c r="C168" s="327"/>
      <c r="D168" s="417"/>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315"/>
      <c r="B169" s="327"/>
      <c r="C169" s="327" t="s">
        <v>8</v>
      </c>
      <c r="D169" s="416"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thickBot="1" x14ac:dyDescent="0.25">
      <c r="A170" s="315"/>
      <c r="B170" s="327"/>
      <c r="C170" s="327"/>
      <c r="D170" s="417"/>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340"/>
      <c r="B171" s="327" t="s">
        <v>88</v>
      </c>
      <c r="C171" s="327" t="s">
        <v>6</v>
      </c>
      <c r="D171" s="416"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thickBot="1" x14ac:dyDescent="0.25">
      <c r="A172" s="340"/>
      <c r="B172" s="327"/>
      <c r="C172" s="327"/>
      <c r="D172" s="417"/>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340"/>
      <c r="B173" s="327"/>
      <c r="C173" s="327" t="s">
        <v>7</v>
      </c>
      <c r="D173" s="416"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thickBot="1" x14ac:dyDescent="0.25">
      <c r="A174" s="340"/>
      <c r="B174" s="327"/>
      <c r="C174" s="327"/>
      <c r="D174" s="417"/>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340"/>
      <c r="B175" s="327"/>
      <c r="C175" s="327" t="s">
        <v>8</v>
      </c>
      <c r="D175" s="416"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thickBot="1" x14ac:dyDescent="0.25">
      <c r="A176" s="340"/>
      <c r="B176" s="327"/>
      <c r="C176" s="327"/>
      <c r="D176" s="417"/>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340"/>
      <c r="B177" s="327" t="s">
        <v>141</v>
      </c>
      <c r="C177" s="327" t="s">
        <v>6</v>
      </c>
      <c r="D177" s="416"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thickBot="1" x14ac:dyDescent="0.25">
      <c r="A178" s="340"/>
      <c r="B178" s="327"/>
      <c r="C178" s="327"/>
      <c r="D178" s="417"/>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340"/>
      <c r="B179" s="327"/>
      <c r="C179" s="327" t="s">
        <v>7</v>
      </c>
      <c r="D179" s="416"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thickBot="1" x14ac:dyDescent="0.25">
      <c r="A180" s="340"/>
      <c r="B180" s="327"/>
      <c r="C180" s="327"/>
      <c r="D180" s="417"/>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340"/>
      <c r="B181" s="327"/>
      <c r="C181" s="327" t="s">
        <v>8</v>
      </c>
      <c r="D181" s="416"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30" customHeight="1" thickBot="1" x14ac:dyDescent="0.25">
      <c r="A182" s="340"/>
      <c r="B182" s="327"/>
      <c r="C182" s="327"/>
      <c r="D182" s="417"/>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7.25" customHeight="1" x14ac:dyDescent="0.2">
      <c r="A183" s="340"/>
      <c r="B183" s="327" t="s">
        <v>89</v>
      </c>
      <c r="C183" s="327" t="s">
        <v>6</v>
      </c>
      <c r="D183" s="416" t="s">
        <v>78</v>
      </c>
      <c r="E183" s="254">
        <v>1E-3</v>
      </c>
      <c r="F183" s="254">
        <v>1E-3</v>
      </c>
      <c r="G183" s="254">
        <v>1E-3</v>
      </c>
      <c r="H183" s="254">
        <v>1E-3</v>
      </c>
      <c r="I183" s="26"/>
      <c r="J183" s="254">
        <v>1E-3</v>
      </c>
      <c r="K183" s="254">
        <v>1E-3</v>
      </c>
      <c r="L183" s="254">
        <v>1E-3</v>
      </c>
      <c r="M183" s="254">
        <v>1E-3</v>
      </c>
      <c r="N183" s="254">
        <v>1E-3</v>
      </c>
      <c r="O183" s="26"/>
      <c r="P183" s="254">
        <v>1E-3</v>
      </c>
      <c r="Q183" s="254">
        <v>1E-3</v>
      </c>
      <c r="R183" s="254">
        <v>1E-3</v>
      </c>
      <c r="S183" s="254">
        <v>1E-3</v>
      </c>
      <c r="T183" s="254">
        <v>1E-3</v>
      </c>
      <c r="U183" s="26"/>
      <c r="V183" s="254">
        <v>1E-3</v>
      </c>
      <c r="W183" s="254">
        <v>1E-3</v>
      </c>
      <c r="X183" s="254">
        <v>1E-3</v>
      </c>
      <c r="Y183" s="254">
        <v>1E-3</v>
      </c>
      <c r="Z183" s="254">
        <v>1E-3</v>
      </c>
      <c r="AA183" s="26"/>
      <c r="AB183" s="254">
        <v>1E-3</v>
      </c>
      <c r="AC183" s="254">
        <v>1E-3</v>
      </c>
      <c r="AD183" s="254">
        <v>1E-3</v>
      </c>
      <c r="AE183" s="254">
        <v>1E-3</v>
      </c>
      <c r="AF183" s="254">
        <v>1E-3</v>
      </c>
      <c r="AG183" s="26"/>
      <c r="AH183" s="254">
        <v>1E-3</v>
      </c>
    </row>
    <row r="184" spans="1:34" ht="15.75" customHeight="1" thickBot="1" x14ac:dyDescent="0.25">
      <c r="A184" s="340"/>
      <c r="B184" s="327"/>
      <c r="C184" s="327"/>
      <c r="D184" s="417"/>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340"/>
      <c r="B185" s="327"/>
      <c r="C185" s="327" t="s">
        <v>7</v>
      </c>
      <c r="D185" s="416"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thickBot="1" x14ac:dyDescent="0.25">
      <c r="A186" s="340"/>
      <c r="B186" s="327"/>
      <c r="C186" s="327"/>
      <c r="D186" s="417"/>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340"/>
      <c r="B187" s="327"/>
      <c r="C187" s="327" t="s">
        <v>8</v>
      </c>
      <c r="D187" s="416"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thickBot="1" x14ac:dyDescent="0.25">
      <c r="A188" s="340"/>
      <c r="B188" s="327"/>
      <c r="C188" s="327"/>
      <c r="D188" s="417"/>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ht="15.75" customHeight="1" thickBot="1" x14ac:dyDescent="0.25">
      <c r="A189" s="65">
        <v>1.7</v>
      </c>
      <c r="B189" s="337" t="s">
        <v>28</v>
      </c>
      <c r="C189" s="33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row>
    <row r="190" spans="1:34" ht="25.8" customHeight="1" x14ac:dyDescent="0.2">
      <c r="A190" s="339"/>
      <c r="B190" s="327" t="s">
        <v>90</v>
      </c>
      <c r="C190" s="327"/>
      <c r="D190" s="416"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52">
        <v>0.2</v>
      </c>
      <c r="AH190" s="252">
        <v>0.2</v>
      </c>
    </row>
    <row r="191" spans="1:34" ht="44.4" customHeight="1" thickBot="1" x14ac:dyDescent="0.25">
      <c r="A191" s="339"/>
      <c r="B191" s="327"/>
      <c r="C191" s="327"/>
      <c r="D191" s="417"/>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52"/>
      <c r="AH191" s="252"/>
    </row>
    <row r="192" spans="1:34" ht="15.75" customHeight="1" x14ac:dyDescent="0.2">
      <c r="A192" s="339"/>
      <c r="B192" s="327" t="s">
        <v>91</v>
      </c>
      <c r="C192" s="327"/>
      <c r="D192" s="416"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52">
        <v>1</v>
      </c>
      <c r="AH192" s="252">
        <v>1</v>
      </c>
    </row>
    <row r="193" spans="1:34" ht="49.8" customHeight="1" thickBot="1" x14ac:dyDescent="0.25">
      <c r="A193" s="339"/>
      <c r="B193" s="327"/>
      <c r="C193" s="327"/>
      <c r="D193" s="417"/>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52"/>
      <c r="AH193" s="252"/>
    </row>
    <row r="194" spans="1:34" x14ac:dyDescent="0.2">
      <c r="A194" s="78">
        <v>2</v>
      </c>
      <c r="B194" s="415" t="s">
        <v>29</v>
      </c>
      <c r="C194" s="415"/>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thickBot="1" x14ac:dyDescent="0.25">
      <c r="A195" s="78">
        <v>2.1</v>
      </c>
      <c r="B195" s="415" t="s">
        <v>30</v>
      </c>
      <c r="C195" s="415"/>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41.4" customHeight="1" x14ac:dyDescent="0.2">
      <c r="A196" s="339"/>
      <c r="B196" s="288" t="s">
        <v>142</v>
      </c>
      <c r="C196" s="332"/>
      <c r="D196" s="413" t="s">
        <v>78</v>
      </c>
      <c r="E196" s="254">
        <v>0.81410000000000005</v>
      </c>
      <c r="F196" s="254">
        <v>0.81410000000000005</v>
      </c>
      <c r="G196" s="254">
        <v>0.81410000000000005</v>
      </c>
      <c r="H196" s="254">
        <v>0.81410000000000005</v>
      </c>
      <c r="I196" s="45"/>
      <c r="J196" s="254">
        <v>0.81410000000000005</v>
      </c>
      <c r="K196" s="254">
        <v>0.79410000000000003</v>
      </c>
      <c r="L196" s="254">
        <v>0.79410000000000003</v>
      </c>
      <c r="M196" s="254">
        <v>0.79410000000000003</v>
      </c>
      <c r="N196" s="254">
        <v>0.79410000000000003</v>
      </c>
      <c r="O196" s="45"/>
      <c r="P196" s="254">
        <v>0.79410000000000003</v>
      </c>
      <c r="Q196" s="255">
        <v>0.77410000000000001</v>
      </c>
      <c r="R196" s="255">
        <v>0.77410000000000001</v>
      </c>
      <c r="S196" s="255">
        <v>0.77410000000000001</v>
      </c>
      <c r="T196" s="255">
        <v>0.77410000000000001</v>
      </c>
      <c r="U196" s="45"/>
      <c r="V196" s="255">
        <v>0.77410000000000001</v>
      </c>
      <c r="W196" s="254">
        <v>0.75409999999999999</v>
      </c>
      <c r="X196" s="254">
        <v>0.75409999999999999</v>
      </c>
      <c r="Y196" s="254">
        <v>0.75409999999999999</v>
      </c>
      <c r="Z196" s="254">
        <v>0.75409999999999999</v>
      </c>
      <c r="AA196" s="45"/>
      <c r="AB196" s="254">
        <v>0.75409999999999999</v>
      </c>
      <c r="AC196" s="254">
        <v>0.33100000000000002</v>
      </c>
      <c r="AD196" s="254">
        <v>0.33100000000000002</v>
      </c>
      <c r="AE196" s="254">
        <v>0.33100000000000002</v>
      </c>
      <c r="AF196" s="254">
        <v>0.33100000000000002</v>
      </c>
      <c r="AG196" s="29"/>
      <c r="AH196" s="254">
        <v>0.33100000000000002</v>
      </c>
    </row>
    <row r="197" spans="1:34" ht="39.6" customHeight="1" thickBot="1" x14ac:dyDescent="0.25">
      <c r="A197" s="339"/>
      <c r="B197" s="332"/>
      <c r="C197" s="332"/>
      <c r="D197" s="414"/>
      <c r="E197" s="254"/>
      <c r="F197" s="254"/>
      <c r="G197" s="254"/>
      <c r="H197" s="254"/>
      <c r="I197" s="45"/>
      <c r="J197" s="254"/>
      <c r="K197" s="254">
        <v>0.56999999999999995</v>
      </c>
      <c r="L197" s="254">
        <v>0.56999999999999995</v>
      </c>
      <c r="M197" s="254">
        <v>0.56999999999999995</v>
      </c>
      <c r="N197" s="254">
        <v>0.56999999999999995</v>
      </c>
      <c r="O197" s="45"/>
      <c r="P197" s="254">
        <v>0.56999999999999995</v>
      </c>
      <c r="Q197" s="256"/>
      <c r="R197" s="256"/>
      <c r="S197" s="256"/>
      <c r="T197" s="256"/>
      <c r="U197" s="45"/>
      <c r="V197" s="256"/>
      <c r="W197" s="254">
        <v>0.56999999999999995</v>
      </c>
      <c r="X197" s="254">
        <v>0.56999999999999995</v>
      </c>
      <c r="Y197" s="254">
        <v>0.56999999999999995</v>
      </c>
      <c r="Z197" s="254">
        <v>0.56999999999999995</v>
      </c>
      <c r="AA197" s="45"/>
      <c r="AB197" s="254">
        <v>0.56999999999999995</v>
      </c>
      <c r="AC197" s="254">
        <v>0.56999999999999995</v>
      </c>
      <c r="AD197" s="254">
        <v>0.56999999999999995</v>
      </c>
      <c r="AE197" s="254">
        <v>0.56999999999999995</v>
      </c>
      <c r="AF197" s="254">
        <v>0.56999999999999995</v>
      </c>
      <c r="AG197" s="29"/>
      <c r="AH197" s="254">
        <v>0.56999999999999995</v>
      </c>
    </row>
    <row r="198" spans="1:34" ht="15.75" customHeight="1" x14ac:dyDescent="0.2">
      <c r="A198" s="339"/>
      <c r="B198" s="335" t="s">
        <v>146</v>
      </c>
      <c r="C198" s="335"/>
      <c r="D198" s="413" t="s">
        <v>78</v>
      </c>
      <c r="E198" s="252">
        <v>1</v>
      </c>
      <c r="F198" s="252">
        <v>1</v>
      </c>
      <c r="G198" s="252">
        <v>1</v>
      </c>
      <c r="H198" s="252">
        <v>1</v>
      </c>
      <c r="I198" s="19"/>
      <c r="J198" s="252">
        <v>1</v>
      </c>
      <c r="K198" s="252">
        <v>1</v>
      </c>
      <c r="L198" s="252">
        <v>1</v>
      </c>
      <c r="M198" s="252">
        <v>1</v>
      </c>
      <c r="N198" s="252">
        <v>1</v>
      </c>
      <c r="O198" s="19"/>
      <c r="P198" s="252">
        <v>1</v>
      </c>
      <c r="Q198" s="246">
        <v>1</v>
      </c>
      <c r="R198" s="246">
        <v>1</v>
      </c>
      <c r="S198" s="246">
        <v>1</v>
      </c>
      <c r="T198" s="246">
        <v>1</v>
      </c>
      <c r="U198" s="19"/>
      <c r="V198" s="246">
        <v>1</v>
      </c>
      <c r="W198" s="252">
        <f>82.32/(82.32+4.956)</f>
        <v>0.94321462945139556</v>
      </c>
      <c r="X198" s="252">
        <f>82.32/(82.32+4.956)</f>
        <v>0.94321462945139556</v>
      </c>
      <c r="Y198" s="252">
        <f>82.32/(82.32+4.956)</f>
        <v>0.94321462945139556</v>
      </c>
      <c r="Z198" s="252">
        <f>82.32/(82.32+4.956)</f>
        <v>0.94321462945139556</v>
      </c>
      <c r="AA198" s="19"/>
      <c r="AB198" s="252">
        <f>82.32/(82.32+4.956)</f>
        <v>0.94321462945139556</v>
      </c>
      <c r="AC198" s="252">
        <v>1</v>
      </c>
      <c r="AD198" s="252">
        <v>1</v>
      </c>
      <c r="AE198" s="252">
        <v>1</v>
      </c>
      <c r="AF198" s="252">
        <v>1</v>
      </c>
      <c r="AG198" s="19"/>
      <c r="AH198" s="252">
        <v>1</v>
      </c>
    </row>
    <row r="199" spans="1:34" ht="47.4" customHeight="1" thickBot="1" x14ac:dyDescent="0.25">
      <c r="A199" s="339"/>
      <c r="B199" s="335"/>
      <c r="C199" s="335"/>
      <c r="D199" s="414"/>
      <c r="E199" s="252"/>
      <c r="F199" s="252"/>
      <c r="G199" s="252"/>
      <c r="H199" s="252"/>
      <c r="I199" s="19"/>
      <c r="J199" s="252"/>
      <c r="K199" s="252"/>
      <c r="L199" s="252"/>
      <c r="M199" s="252"/>
      <c r="N199" s="252"/>
      <c r="O199" s="19"/>
      <c r="P199" s="252"/>
      <c r="Q199" s="256"/>
      <c r="R199" s="256"/>
      <c r="S199" s="256"/>
      <c r="T199" s="256"/>
      <c r="U199" s="19"/>
      <c r="V199" s="256"/>
      <c r="W199" s="252"/>
      <c r="X199" s="252"/>
      <c r="Y199" s="252"/>
      <c r="Z199" s="252"/>
      <c r="AA199" s="19"/>
      <c r="AB199" s="252"/>
      <c r="AC199" s="252"/>
      <c r="AD199" s="252"/>
      <c r="AE199" s="252"/>
      <c r="AF199" s="252"/>
      <c r="AG199" s="19"/>
      <c r="AH199" s="252"/>
    </row>
    <row r="200" spans="1:34" ht="25.5" customHeight="1" thickBot="1" x14ac:dyDescent="0.25">
      <c r="A200" s="339"/>
      <c r="B200" s="335" t="s">
        <v>147</v>
      </c>
      <c r="C200" s="335"/>
      <c r="D200" s="147" t="s">
        <v>100</v>
      </c>
      <c r="E200" s="250">
        <v>0.1</v>
      </c>
      <c r="F200" s="250">
        <v>0.1</v>
      </c>
      <c r="G200" s="250">
        <v>0.1</v>
      </c>
      <c r="H200" s="250">
        <v>0.1</v>
      </c>
      <c r="I200" s="26"/>
      <c r="J200" s="250">
        <v>0.1</v>
      </c>
      <c r="K200" s="250">
        <v>0.1</v>
      </c>
      <c r="L200" s="250">
        <v>0.1</v>
      </c>
      <c r="M200" s="250">
        <v>0.1</v>
      </c>
      <c r="N200" s="250">
        <v>0.1</v>
      </c>
      <c r="O200" s="26"/>
      <c r="P200" s="250">
        <v>0.1</v>
      </c>
      <c r="Q200" s="250">
        <v>0.1</v>
      </c>
      <c r="R200" s="250">
        <v>0.1</v>
      </c>
      <c r="S200" s="250">
        <v>0.1</v>
      </c>
      <c r="T200" s="250">
        <v>0.1</v>
      </c>
      <c r="U200" s="26"/>
      <c r="V200" s="250">
        <v>0.1</v>
      </c>
      <c r="W200" s="250">
        <v>0.1</v>
      </c>
      <c r="X200" s="250">
        <v>0.1</v>
      </c>
      <c r="Y200" s="250">
        <v>0.1</v>
      </c>
      <c r="Z200" s="250">
        <v>0.1</v>
      </c>
      <c r="AA200" s="26"/>
      <c r="AB200" s="250">
        <v>0.1</v>
      </c>
      <c r="AC200" s="250">
        <v>0.1</v>
      </c>
      <c r="AD200" s="250">
        <v>0.1</v>
      </c>
      <c r="AE200" s="250">
        <v>0.1</v>
      </c>
      <c r="AF200" s="250">
        <v>0.1</v>
      </c>
      <c r="AG200" s="26"/>
      <c r="AH200" s="250">
        <v>0.1</v>
      </c>
    </row>
    <row r="201" spans="1:34" ht="18.75" customHeight="1" thickBot="1" x14ac:dyDescent="0.25">
      <c r="A201" s="339"/>
      <c r="B201" s="335"/>
      <c r="C201" s="335"/>
      <c r="D201" s="148" t="s">
        <v>31</v>
      </c>
      <c r="E201" s="311"/>
      <c r="F201" s="311"/>
      <c r="G201" s="311"/>
      <c r="H201" s="311"/>
      <c r="I201" s="26"/>
      <c r="J201" s="311"/>
      <c r="K201" s="311"/>
      <c r="L201" s="311"/>
      <c r="M201" s="311"/>
      <c r="N201" s="311"/>
      <c r="O201" s="26"/>
      <c r="P201" s="311"/>
      <c r="Q201" s="311"/>
      <c r="R201" s="311"/>
      <c r="S201" s="311"/>
      <c r="T201" s="311"/>
      <c r="U201" s="26"/>
      <c r="V201" s="311"/>
      <c r="W201" s="311"/>
      <c r="X201" s="311"/>
      <c r="Y201" s="311"/>
      <c r="Z201" s="311"/>
      <c r="AA201" s="26"/>
      <c r="AB201" s="311"/>
      <c r="AC201" s="311"/>
      <c r="AD201" s="311"/>
      <c r="AE201" s="311"/>
      <c r="AF201" s="311"/>
      <c r="AG201" s="26"/>
      <c r="AH201" s="311"/>
    </row>
    <row r="202" spans="1:34" ht="15.75" customHeight="1" x14ac:dyDescent="0.2">
      <c r="A202" s="339"/>
      <c r="B202" s="327" t="s">
        <v>42</v>
      </c>
      <c r="C202" s="315" t="s">
        <v>26</v>
      </c>
      <c r="D202" s="413" t="s">
        <v>78</v>
      </c>
      <c r="E202" s="310">
        <v>1</v>
      </c>
      <c r="F202" s="310">
        <v>1</v>
      </c>
      <c r="G202" s="310">
        <v>1</v>
      </c>
      <c r="H202" s="310">
        <v>1</v>
      </c>
      <c r="I202" s="26"/>
      <c r="J202" s="310">
        <v>1</v>
      </c>
      <c r="K202" s="310">
        <v>1</v>
      </c>
      <c r="L202" s="310">
        <v>1</v>
      </c>
      <c r="M202" s="310">
        <v>1</v>
      </c>
      <c r="N202" s="310">
        <v>1</v>
      </c>
      <c r="O202" s="26"/>
      <c r="P202" s="310">
        <v>1</v>
      </c>
      <c r="Q202" s="310">
        <v>1</v>
      </c>
      <c r="R202" s="310">
        <v>1</v>
      </c>
      <c r="S202" s="310">
        <v>1</v>
      </c>
      <c r="T202" s="310">
        <v>1</v>
      </c>
      <c r="U202" s="26"/>
      <c r="V202" s="310">
        <v>1</v>
      </c>
      <c r="W202" s="310">
        <v>1</v>
      </c>
      <c r="X202" s="310">
        <v>1</v>
      </c>
      <c r="Y202" s="310">
        <v>1</v>
      </c>
      <c r="Z202" s="310">
        <v>1</v>
      </c>
      <c r="AA202" s="26"/>
      <c r="AB202" s="310">
        <v>1</v>
      </c>
      <c r="AC202" s="310">
        <v>1</v>
      </c>
      <c r="AD202" s="310">
        <v>1</v>
      </c>
      <c r="AE202" s="310">
        <v>1</v>
      </c>
      <c r="AF202" s="310">
        <v>1</v>
      </c>
      <c r="AG202" s="26"/>
      <c r="AH202" s="310">
        <v>1</v>
      </c>
    </row>
    <row r="203" spans="1:34" ht="15.75" customHeight="1" thickBot="1" x14ac:dyDescent="0.25">
      <c r="A203" s="339"/>
      <c r="B203" s="327"/>
      <c r="C203" s="315"/>
      <c r="D203" s="414"/>
      <c r="E203" s="310"/>
      <c r="F203" s="310"/>
      <c r="G203" s="310"/>
      <c r="H203" s="310"/>
      <c r="I203" s="26"/>
      <c r="J203" s="310"/>
      <c r="K203" s="310"/>
      <c r="L203" s="310"/>
      <c r="M203" s="310"/>
      <c r="N203" s="310"/>
      <c r="O203" s="26"/>
      <c r="P203" s="310"/>
      <c r="Q203" s="310"/>
      <c r="R203" s="310"/>
      <c r="S203" s="310"/>
      <c r="T203" s="310"/>
      <c r="U203" s="26"/>
      <c r="V203" s="310"/>
      <c r="W203" s="310"/>
      <c r="X203" s="310"/>
      <c r="Y203" s="310"/>
      <c r="Z203" s="310"/>
      <c r="AA203" s="26"/>
      <c r="AB203" s="310"/>
      <c r="AC203" s="310"/>
      <c r="AD203" s="310"/>
      <c r="AE203" s="310"/>
      <c r="AF203" s="310"/>
      <c r="AG203" s="26"/>
      <c r="AH203" s="310"/>
    </row>
    <row r="204" spans="1:34" ht="15.75" customHeight="1" x14ac:dyDescent="0.2">
      <c r="A204" s="339"/>
      <c r="B204" s="327"/>
      <c r="C204" s="315" t="s">
        <v>7</v>
      </c>
      <c r="D204" s="413" t="s">
        <v>78</v>
      </c>
      <c r="E204" s="310">
        <v>1</v>
      </c>
      <c r="F204" s="310">
        <v>1</v>
      </c>
      <c r="G204" s="310">
        <v>1</v>
      </c>
      <c r="H204" s="310">
        <v>1</v>
      </c>
      <c r="I204" s="26"/>
      <c r="J204" s="310">
        <v>1</v>
      </c>
      <c r="K204" s="310">
        <v>1</v>
      </c>
      <c r="L204" s="310">
        <v>1</v>
      </c>
      <c r="M204" s="310">
        <v>1</v>
      </c>
      <c r="N204" s="310">
        <v>1</v>
      </c>
      <c r="O204" s="26"/>
      <c r="P204" s="310">
        <v>1</v>
      </c>
      <c r="Q204" s="310">
        <v>1</v>
      </c>
      <c r="R204" s="310">
        <v>1</v>
      </c>
      <c r="S204" s="310">
        <v>1</v>
      </c>
      <c r="T204" s="310">
        <v>1</v>
      </c>
      <c r="U204" s="26"/>
      <c r="V204" s="310">
        <v>1</v>
      </c>
      <c r="W204" s="310">
        <v>1</v>
      </c>
      <c r="X204" s="310">
        <v>1</v>
      </c>
      <c r="Y204" s="310">
        <v>1</v>
      </c>
      <c r="Z204" s="310">
        <v>1</v>
      </c>
      <c r="AA204" s="26"/>
      <c r="AB204" s="310">
        <v>1</v>
      </c>
      <c r="AC204" s="310">
        <v>1</v>
      </c>
      <c r="AD204" s="310">
        <v>1</v>
      </c>
      <c r="AE204" s="310">
        <v>1</v>
      </c>
      <c r="AF204" s="310">
        <v>1</v>
      </c>
      <c r="AG204" s="26"/>
      <c r="AH204" s="310">
        <v>1</v>
      </c>
    </row>
    <row r="205" spans="1:34" ht="15.75" customHeight="1" thickBot="1" x14ac:dyDescent="0.25">
      <c r="A205" s="339"/>
      <c r="B205" s="327"/>
      <c r="C205" s="315"/>
      <c r="D205" s="414"/>
      <c r="E205" s="310"/>
      <c r="F205" s="310"/>
      <c r="G205" s="310"/>
      <c r="H205" s="310"/>
      <c r="I205" s="26"/>
      <c r="J205" s="310"/>
      <c r="K205" s="310"/>
      <c r="L205" s="310"/>
      <c r="M205" s="310"/>
      <c r="N205" s="310"/>
      <c r="O205" s="26"/>
      <c r="P205" s="310"/>
      <c r="Q205" s="310"/>
      <c r="R205" s="310"/>
      <c r="S205" s="310"/>
      <c r="T205" s="310"/>
      <c r="U205" s="26"/>
      <c r="V205" s="310"/>
      <c r="W205" s="310"/>
      <c r="X205" s="310"/>
      <c r="Y205" s="310"/>
      <c r="Z205" s="310"/>
      <c r="AA205" s="26"/>
      <c r="AB205" s="310"/>
      <c r="AC205" s="310"/>
      <c r="AD205" s="310"/>
      <c r="AE205" s="310"/>
      <c r="AF205" s="310"/>
      <c r="AG205" s="26"/>
      <c r="AH205" s="310"/>
    </row>
    <row r="206" spans="1:34" ht="15.75" customHeight="1" x14ac:dyDescent="0.2">
      <c r="A206" s="339"/>
      <c r="B206" s="327"/>
      <c r="C206" s="315" t="s">
        <v>8</v>
      </c>
      <c r="D206" s="413" t="s">
        <v>78</v>
      </c>
      <c r="E206" s="310">
        <v>1</v>
      </c>
      <c r="F206" s="310">
        <v>1</v>
      </c>
      <c r="G206" s="310">
        <v>1</v>
      </c>
      <c r="H206" s="310">
        <v>1</v>
      </c>
      <c r="I206" s="26"/>
      <c r="J206" s="310">
        <v>1</v>
      </c>
      <c r="K206" s="310">
        <v>1</v>
      </c>
      <c r="L206" s="310">
        <v>1</v>
      </c>
      <c r="M206" s="310">
        <v>1</v>
      </c>
      <c r="N206" s="310">
        <v>1</v>
      </c>
      <c r="O206" s="26"/>
      <c r="P206" s="310">
        <v>1</v>
      </c>
      <c r="Q206" s="310">
        <v>1</v>
      </c>
      <c r="R206" s="310">
        <v>1</v>
      </c>
      <c r="S206" s="310">
        <v>1</v>
      </c>
      <c r="T206" s="310">
        <v>1</v>
      </c>
      <c r="U206" s="26"/>
      <c r="V206" s="310">
        <v>1</v>
      </c>
      <c r="W206" s="310">
        <v>1</v>
      </c>
      <c r="X206" s="310">
        <v>1</v>
      </c>
      <c r="Y206" s="310">
        <v>1</v>
      </c>
      <c r="Z206" s="310">
        <v>1</v>
      </c>
      <c r="AA206" s="26"/>
      <c r="AB206" s="310">
        <v>1</v>
      </c>
      <c r="AC206" s="310">
        <v>1</v>
      </c>
      <c r="AD206" s="310">
        <v>1</v>
      </c>
      <c r="AE206" s="310">
        <v>1</v>
      </c>
      <c r="AF206" s="310">
        <v>1</v>
      </c>
      <c r="AG206" s="26"/>
      <c r="AH206" s="310">
        <v>1</v>
      </c>
    </row>
    <row r="207" spans="1:34" ht="15.75" customHeight="1" thickBot="1" x14ac:dyDescent="0.25">
      <c r="A207" s="339"/>
      <c r="B207" s="327"/>
      <c r="C207" s="315"/>
      <c r="D207" s="414"/>
      <c r="E207" s="310"/>
      <c r="F207" s="310"/>
      <c r="G207" s="310"/>
      <c r="H207" s="310"/>
      <c r="I207" s="26"/>
      <c r="J207" s="310"/>
      <c r="K207" s="310"/>
      <c r="L207" s="310"/>
      <c r="M207" s="310"/>
      <c r="N207" s="310"/>
      <c r="O207" s="26"/>
      <c r="P207" s="310"/>
      <c r="Q207" s="310"/>
      <c r="R207" s="310"/>
      <c r="S207" s="310"/>
      <c r="T207" s="310"/>
      <c r="U207" s="26"/>
      <c r="V207" s="310"/>
      <c r="W207" s="310"/>
      <c r="X207" s="310"/>
      <c r="Y207" s="310"/>
      <c r="Z207" s="310"/>
      <c r="AA207" s="26"/>
      <c r="AB207" s="310"/>
      <c r="AC207" s="310"/>
      <c r="AD207" s="310"/>
      <c r="AE207" s="310"/>
      <c r="AF207" s="310"/>
      <c r="AG207" s="26"/>
      <c r="AH207" s="310"/>
    </row>
    <row r="208" spans="1:34" ht="15.75" customHeight="1" x14ac:dyDescent="0.2">
      <c r="A208" s="339"/>
      <c r="B208" s="332" t="s">
        <v>130</v>
      </c>
      <c r="C208" s="332"/>
      <c r="D208" s="413" t="s">
        <v>78</v>
      </c>
      <c r="E208" s="310">
        <f>85.45/70</f>
        <v>1.2207142857142859</v>
      </c>
      <c r="F208" s="310">
        <f>85.45/70</f>
        <v>1.2207142857142859</v>
      </c>
      <c r="G208" s="310">
        <f>85.45/70</f>
        <v>1.2207142857142859</v>
      </c>
      <c r="H208" s="310">
        <f>85.45/70</f>
        <v>1.2207142857142859</v>
      </c>
      <c r="I208" s="19"/>
      <c r="J208" s="310">
        <f>85.45/70</f>
        <v>1.2207142857142859</v>
      </c>
      <c r="K208" s="310">
        <f>85.45/70</f>
        <v>1.2207142857142859</v>
      </c>
      <c r="L208" s="310">
        <f>85.45/70</f>
        <v>1.2207142857142859</v>
      </c>
      <c r="M208" s="310">
        <f>85.45/70</f>
        <v>1.2207142857142859</v>
      </c>
      <c r="N208" s="310">
        <f>85.45/70</f>
        <v>1.2207142857142859</v>
      </c>
      <c r="O208" s="19"/>
      <c r="P208" s="310">
        <f>85.45/70</f>
        <v>1.2207142857142859</v>
      </c>
      <c r="Q208" s="310">
        <f>85.45/70</f>
        <v>1.2207142857142859</v>
      </c>
      <c r="R208" s="310">
        <f>85.45/70</f>
        <v>1.2207142857142859</v>
      </c>
      <c r="S208" s="310">
        <f>85.45/70</f>
        <v>1.2207142857142859</v>
      </c>
      <c r="T208" s="310">
        <f>85.45/70</f>
        <v>1.2207142857142859</v>
      </c>
      <c r="U208" s="19"/>
      <c r="V208" s="310">
        <f>85.45/70</f>
        <v>1.2207142857142859</v>
      </c>
      <c r="W208" s="310">
        <f>(85.45+21.14)/70</f>
        <v>1.5227142857142857</v>
      </c>
      <c r="X208" s="310">
        <f>(85.45+21.14)/70</f>
        <v>1.5227142857142857</v>
      </c>
      <c r="Y208" s="310">
        <f>(85.45+21.14)/70</f>
        <v>1.5227142857142857</v>
      </c>
      <c r="Z208" s="310">
        <f>(85.45+21.14)/70</f>
        <v>1.5227142857142857</v>
      </c>
      <c r="AA208" s="19"/>
      <c r="AB208" s="310">
        <f>(85.45+21.14)/70</f>
        <v>1.5227142857142857</v>
      </c>
      <c r="AC208" s="310">
        <f>(85.45+21.14)/70</f>
        <v>1.5227142857142857</v>
      </c>
      <c r="AD208" s="310">
        <f>(85.45+21.14)/70</f>
        <v>1.5227142857142857</v>
      </c>
      <c r="AE208" s="310">
        <f>(85.45+21.14)/70</f>
        <v>1.5227142857142857</v>
      </c>
      <c r="AF208" s="310">
        <f>(85.45+21.14)/70</f>
        <v>1.5227142857142857</v>
      </c>
      <c r="AG208" s="19"/>
      <c r="AH208" s="310">
        <f>(85.45+21.14)/70</f>
        <v>1.5227142857142857</v>
      </c>
    </row>
    <row r="209" spans="1:34" ht="31.8" customHeight="1" thickBot="1" x14ac:dyDescent="0.25">
      <c r="A209" s="339"/>
      <c r="B209" s="332"/>
      <c r="C209" s="332"/>
      <c r="D209" s="414"/>
      <c r="E209" s="310"/>
      <c r="F209" s="310"/>
      <c r="G209" s="310"/>
      <c r="H209" s="310"/>
      <c r="I209" s="19"/>
      <c r="J209" s="310"/>
      <c r="K209" s="310"/>
      <c r="L209" s="310"/>
      <c r="M209" s="310"/>
      <c r="N209" s="310"/>
      <c r="O209" s="19"/>
      <c r="P209" s="310"/>
      <c r="Q209" s="310"/>
      <c r="R209" s="310"/>
      <c r="S209" s="310"/>
      <c r="T209" s="310"/>
      <c r="U209" s="19"/>
      <c r="V209" s="310"/>
      <c r="W209" s="310"/>
      <c r="X209" s="310"/>
      <c r="Y209" s="310"/>
      <c r="Z209" s="310"/>
      <c r="AA209" s="19"/>
      <c r="AB209" s="310"/>
      <c r="AC209" s="310"/>
      <c r="AD209" s="310"/>
      <c r="AE209" s="310"/>
      <c r="AF209" s="310"/>
      <c r="AG209" s="19"/>
      <c r="AH209" s="310"/>
    </row>
    <row r="210" spans="1:34" ht="15.75" customHeight="1" x14ac:dyDescent="0.2">
      <c r="A210" s="339"/>
      <c r="B210" s="327" t="s">
        <v>131</v>
      </c>
      <c r="C210" s="327"/>
      <c r="D210" s="413" t="s">
        <v>78</v>
      </c>
      <c r="E210" s="310">
        <v>1</v>
      </c>
      <c r="F210" s="310">
        <v>1</v>
      </c>
      <c r="G210" s="310">
        <v>1</v>
      </c>
      <c r="H210" s="310">
        <v>1</v>
      </c>
      <c r="I210" s="19"/>
      <c r="J210" s="310">
        <v>1</v>
      </c>
      <c r="K210" s="310">
        <v>1</v>
      </c>
      <c r="L210" s="310">
        <v>1</v>
      </c>
      <c r="M210" s="310">
        <v>1</v>
      </c>
      <c r="N210" s="310">
        <v>1</v>
      </c>
      <c r="O210" s="19"/>
      <c r="P210" s="310">
        <v>1</v>
      </c>
      <c r="Q210" s="310">
        <v>1</v>
      </c>
      <c r="R210" s="310">
        <v>1</v>
      </c>
      <c r="S210" s="310">
        <v>1</v>
      </c>
      <c r="T210" s="310">
        <v>1</v>
      </c>
      <c r="U210" s="19"/>
      <c r="V210" s="310">
        <v>1</v>
      </c>
      <c r="W210" s="310">
        <v>1</v>
      </c>
      <c r="X210" s="310">
        <v>1</v>
      </c>
      <c r="Y210" s="310">
        <v>1</v>
      </c>
      <c r="Z210" s="310">
        <v>1</v>
      </c>
      <c r="AA210" s="19"/>
      <c r="AB210" s="310">
        <v>1</v>
      </c>
      <c r="AC210" s="310">
        <v>1</v>
      </c>
      <c r="AD210" s="310">
        <v>1</v>
      </c>
      <c r="AE210" s="310">
        <v>1</v>
      </c>
      <c r="AF210" s="310">
        <v>1</v>
      </c>
      <c r="AG210" s="19"/>
      <c r="AH210" s="310">
        <v>1</v>
      </c>
    </row>
    <row r="211" spans="1:34" ht="37.200000000000003" customHeight="1" thickBot="1" x14ac:dyDescent="0.25">
      <c r="A211" s="339"/>
      <c r="B211" s="327"/>
      <c r="C211" s="327"/>
      <c r="D211" s="414"/>
      <c r="E211" s="310"/>
      <c r="F211" s="310"/>
      <c r="G211" s="310"/>
      <c r="H211" s="310"/>
      <c r="I211" s="19"/>
      <c r="J211" s="310"/>
      <c r="K211" s="310"/>
      <c r="L211" s="310"/>
      <c r="M211" s="310"/>
      <c r="N211" s="310"/>
      <c r="O211" s="19"/>
      <c r="P211" s="310"/>
      <c r="Q211" s="310"/>
      <c r="R211" s="310"/>
      <c r="S211" s="310"/>
      <c r="T211" s="310"/>
      <c r="U211" s="19"/>
      <c r="V211" s="310"/>
      <c r="W211" s="310"/>
      <c r="X211" s="310"/>
      <c r="Y211" s="310"/>
      <c r="Z211" s="310"/>
      <c r="AA211" s="19"/>
      <c r="AB211" s="310"/>
      <c r="AC211" s="310"/>
      <c r="AD211" s="310"/>
      <c r="AE211" s="310"/>
      <c r="AF211" s="310"/>
      <c r="AG211" s="19"/>
      <c r="AH211" s="310"/>
    </row>
    <row r="212" spans="1:34" ht="15.75" customHeight="1" thickBot="1" x14ac:dyDescent="0.25">
      <c r="A212" s="65">
        <v>2.2000000000000002</v>
      </c>
      <c r="B212" s="418" t="s">
        <v>33</v>
      </c>
      <c r="C212" s="419"/>
      <c r="D212" s="326"/>
      <c r="E212" s="326"/>
      <c r="F212" s="326"/>
      <c r="G212" s="326"/>
      <c r="H212" s="326"/>
      <c r="I212" s="326"/>
      <c r="J212" s="326"/>
      <c r="K212" s="326"/>
      <c r="L212" s="326"/>
      <c r="M212" s="326"/>
      <c r="N212" s="326"/>
      <c r="O212" s="326"/>
      <c r="P212" s="326"/>
      <c r="Q212" s="326"/>
      <c r="R212" s="326"/>
      <c r="S212" s="326"/>
      <c r="T212" s="326"/>
      <c r="U212" s="326"/>
      <c r="V212" s="326"/>
      <c r="W212" s="326"/>
      <c r="X212" s="326"/>
      <c r="Y212" s="326"/>
      <c r="Z212" s="326"/>
      <c r="AA212" s="326"/>
      <c r="AB212" s="326"/>
      <c r="AC212" s="326"/>
      <c r="AD212" s="326"/>
      <c r="AE212" s="326"/>
      <c r="AF212" s="326"/>
      <c r="AG212" s="326"/>
      <c r="AH212" s="420"/>
    </row>
    <row r="213" spans="1:34" ht="26.4" customHeight="1" x14ac:dyDescent="0.2">
      <c r="A213" s="339"/>
      <c r="B213" s="327" t="s">
        <v>43</v>
      </c>
      <c r="C213" s="327"/>
      <c r="D213" s="413" t="s">
        <v>78</v>
      </c>
      <c r="E213" s="310">
        <f>53.872/78.2</f>
        <v>0.68890025575447567</v>
      </c>
      <c r="F213" s="310">
        <f>53.872/78.2</f>
        <v>0.68890025575447567</v>
      </c>
      <c r="G213" s="310">
        <f>53.872/78.2</f>
        <v>0.68890025575447567</v>
      </c>
      <c r="H213" s="310">
        <f>53.872/78.2</f>
        <v>0.68890025575447567</v>
      </c>
      <c r="I213" s="19"/>
      <c r="J213" s="310">
        <f>53.872/78.2</f>
        <v>0.68890025575447567</v>
      </c>
      <c r="K213" s="310">
        <f>53.872/78.2</f>
        <v>0.68890025575447567</v>
      </c>
      <c r="L213" s="310">
        <f>53.872/78.2</f>
        <v>0.68890025575447567</v>
      </c>
      <c r="M213" s="310">
        <f>53.872/78.2</f>
        <v>0.68890025575447567</v>
      </c>
      <c r="N213" s="310">
        <f>53.872/78.2</f>
        <v>0.68890025575447567</v>
      </c>
      <c r="O213" s="19"/>
      <c r="P213" s="310">
        <f>J213</f>
        <v>0.68890025575447567</v>
      </c>
      <c r="Q213" s="310">
        <f t="shared" ref="Q213:V213" si="0">53.872/78.2</f>
        <v>0.68890025575447567</v>
      </c>
      <c r="R213" s="310">
        <f t="shared" si="0"/>
        <v>0.68890025575447567</v>
      </c>
      <c r="S213" s="310">
        <f t="shared" si="0"/>
        <v>0.68890025575447567</v>
      </c>
      <c r="T213" s="310">
        <f t="shared" si="0"/>
        <v>0.68890025575447567</v>
      </c>
      <c r="U213" s="310">
        <f t="shared" si="0"/>
        <v>0.68890025575447567</v>
      </c>
      <c r="V213" s="310">
        <f t="shared" si="0"/>
        <v>0.68890025575447567</v>
      </c>
      <c r="W213" s="310">
        <f t="shared" ref="W213:AB213" si="1">(53.872+5.11)/78.2</f>
        <v>0.75424552429667513</v>
      </c>
      <c r="X213" s="310">
        <f t="shared" si="1"/>
        <v>0.75424552429667513</v>
      </c>
      <c r="Y213" s="310">
        <f t="shared" si="1"/>
        <v>0.75424552429667513</v>
      </c>
      <c r="Z213" s="310">
        <f t="shared" si="1"/>
        <v>0.75424552429667513</v>
      </c>
      <c r="AA213" s="310">
        <f t="shared" si="1"/>
        <v>0.75424552429667513</v>
      </c>
      <c r="AB213" s="310">
        <f t="shared" si="1"/>
        <v>0.75424552429667513</v>
      </c>
      <c r="AC213" s="310">
        <f>W213</f>
        <v>0.75424552429667513</v>
      </c>
      <c r="AD213" s="310">
        <f>X213</f>
        <v>0.75424552429667513</v>
      </c>
      <c r="AE213" s="310">
        <f>Y213</f>
        <v>0.75424552429667513</v>
      </c>
      <c r="AF213" s="310">
        <f>Z213</f>
        <v>0.75424552429667513</v>
      </c>
      <c r="AG213" s="19"/>
      <c r="AH213" s="310">
        <f>AB213</f>
        <v>0.75424552429667513</v>
      </c>
    </row>
    <row r="214" spans="1:34" ht="27.6" customHeight="1" thickBot="1" x14ac:dyDescent="0.25">
      <c r="A214" s="339"/>
      <c r="B214" s="327"/>
      <c r="C214" s="327"/>
      <c r="D214" s="414"/>
      <c r="E214" s="310"/>
      <c r="F214" s="310"/>
      <c r="G214" s="310"/>
      <c r="H214" s="310"/>
      <c r="I214" s="19"/>
      <c r="J214" s="310"/>
      <c r="K214" s="310"/>
      <c r="L214" s="310"/>
      <c r="M214" s="310"/>
      <c r="N214" s="310"/>
      <c r="O214" s="19"/>
      <c r="P214" s="310"/>
      <c r="Q214" s="310"/>
      <c r="R214" s="310"/>
      <c r="S214" s="310"/>
      <c r="T214" s="310"/>
      <c r="U214" s="310"/>
      <c r="V214" s="310"/>
      <c r="W214" s="310"/>
      <c r="X214" s="310"/>
      <c r="Y214" s="310"/>
      <c r="Z214" s="310"/>
      <c r="AA214" s="310"/>
      <c r="AB214" s="310"/>
      <c r="AC214" s="310"/>
      <c r="AD214" s="310"/>
      <c r="AE214" s="310"/>
      <c r="AF214" s="310"/>
      <c r="AG214" s="19"/>
      <c r="AH214" s="310"/>
    </row>
    <row r="215" spans="1:34" ht="21.75" customHeight="1" x14ac:dyDescent="0.2">
      <c r="A215" s="339"/>
      <c r="B215" s="327" t="s">
        <v>44</v>
      </c>
      <c r="C215" s="327"/>
      <c r="D215" s="413" t="s">
        <v>78</v>
      </c>
      <c r="E215" s="310">
        <v>1</v>
      </c>
      <c r="F215" s="310">
        <v>1</v>
      </c>
      <c r="G215" s="310">
        <v>1</v>
      </c>
      <c r="H215" s="310">
        <v>1</v>
      </c>
      <c r="I215" s="19"/>
      <c r="J215" s="310">
        <v>1</v>
      </c>
      <c r="K215" s="310">
        <v>1</v>
      </c>
      <c r="L215" s="310">
        <v>1</v>
      </c>
      <c r="M215" s="310">
        <v>1</v>
      </c>
      <c r="N215" s="310">
        <v>1</v>
      </c>
      <c r="O215" s="19"/>
      <c r="P215" s="310">
        <v>1</v>
      </c>
      <c r="Q215" s="310">
        <v>1</v>
      </c>
      <c r="R215" s="310">
        <v>1</v>
      </c>
      <c r="S215" s="310">
        <v>1</v>
      </c>
      <c r="T215" s="310">
        <v>1</v>
      </c>
      <c r="U215" s="310">
        <v>1</v>
      </c>
      <c r="V215" s="310">
        <v>1</v>
      </c>
      <c r="W215" s="310">
        <f t="shared" ref="W215:AB215" si="2">53.872/(53.872+5.11)</f>
        <v>0.91336339900308572</v>
      </c>
      <c r="X215" s="310">
        <f t="shared" si="2"/>
        <v>0.91336339900308572</v>
      </c>
      <c r="Y215" s="310">
        <f t="shared" si="2"/>
        <v>0.91336339900308572</v>
      </c>
      <c r="Z215" s="310">
        <f t="shared" si="2"/>
        <v>0.91336339900308572</v>
      </c>
      <c r="AA215" s="310">
        <f t="shared" si="2"/>
        <v>0.91336339900308572</v>
      </c>
      <c r="AB215" s="310">
        <f t="shared" si="2"/>
        <v>0.91336339900308572</v>
      </c>
      <c r="AC215" s="310">
        <v>1</v>
      </c>
      <c r="AD215" s="310">
        <v>1</v>
      </c>
      <c r="AE215" s="310">
        <v>1</v>
      </c>
      <c r="AF215" s="310">
        <v>1</v>
      </c>
      <c r="AG215" s="19"/>
      <c r="AH215" s="310">
        <v>1</v>
      </c>
    </row>
    <row r="216" spans="1:34" ht="51.6" customHeight="1" thickBot="1" x14ac:dyDescent="0.25">
      <c r="A216" s="339"/>
      <c r="B216" s="327"/>
      <c r="C216" s="327"/>
      <c r="D216" s="414"/>
      <c r="E216" s="310"/>
      <c r="F216" s="310"/>
      <c r="G216" s="310"/>
      <c r="H216" s="310"/>
      <c r="I216" s="19"/>
      <c r="J216" s="310"/>
      <c r="K216" s="310"/>
      <c r="L216" s="310"/>
      <c r="M216" s="310"/>
      <c r="N216" s="310"/>
      <c r="O216" s="19"/>
      <c r="P216" s="310"/>
      <c r="Q216" s="310"/>
      <c r="R216" s="310"/>
      <c r="S216" s="310"/>
      <c r="T216" s="310"/>
      <c r="U216" s="310"/>
      <c r="V216" s="310"/>
      <c r="W216" s="310"/>
      <c r="X216" s="310"/>
      <c r="Y216" s="310"/>
      <c r="Z216" s="310"/>
      <c r="AA216" s="310"/>
      <c r="AB216" s="310"/>
      <c r="AC216" s="310"/>
      <c r="AD216" s="310"/>
      <c r="AE216" s="310"/>
      <c r="AF216" s="310"/>
      <c r="AG216" s="19"/>
      <c r="AH216" s="310"/>
    </row>
    <row r="217" spans="1:34" ht="21.75" customHeight="1" thickBot="1" x14ac:dyDescent="0.25">
      <c r="A217" s="339"/>
      <c r="B217" s="327" t="s">
        <v>153</v>
      </c>
      <c r="C217" s="327"/>
      <c r="D217" s="149" t="s">
        <v>100</v>
      </c>
      <c r="E217" s="250">
        <v>0.92</v>
      </c>
      <c r="F217" s="250">
        <v>0.92</v>
      </c>
      <c r="G217" s="250">
        <v>0.92</v>
      </c>
      <c r="H217" s="250">
        <v>0.92</v>
      </c>
      <c r="I217" s="26"/>
      <c r="J217" s="250">
        <v>0.92</v>
      </c>
      <c r="K217" s="250">
        <v>0.92</v>
      </c>
      <c r="L217" s="250">
        <v>0.92</v>
      </c>
      <c r="M217" s="250">
        <v>0.92</v>
      </c>
      <c r="N217" s="250">
        <v>0.92</v>
      </c>
      <c r="O217" s="26"/>
      <c r="P217" s="250">
        <v>0.92</v>
      </c>
      <c r="Q217" s="250">
        <v>0.92</v>
      </c>
      <c r="R217" s="250">
        <v>0.92</v>
      </c>
      <c r="S217" s="250">
        <v>0.92</v>
      </c>
      <c r="T217" s="250">
        <v>0.92</v>
      </c>
      <c r="U217" s="250">
        <v>0.92</v>
      </c>
      <c r="V217" s="250">
        <v>0.92</v>
      </c>
      <c r="W217" s="250">
        <v>0.92</v>
      </c>
      <c r="X217" s="250">
        <v>0.92</v>
      </c>
      <c r="Y217" s="250">
        <v>0.92</v>
      </c>
      <c r="Z217" s="250">
        <v>0.92</v>
      </c>
      <c r="AA217" s="250">
        <v>0.92</v>
      </c>
      <c r="AB217" s="250">
        <v>0.92</v>
      </c>
      <c r="AC217" s="250">
        <v>0.92</v>
      </c>
      <c r="AD217" s="250">
        <v>0.92</v>
      </c>
      <c r="AE217" s="250">
        <v>0.92</v>
      </c>
      <c r="AF217" s="250">
        <v>0.92</v>
      </c>
      <c r="AG217" s="26"/>
      <c r="AH217" s="250">
        <v>0.92</v>
      </c>
    </row>
    <row r="218" spans="1:34" ht="75" customHeight="1" thickBot="1" x14ac:dyDescent="0.25">
      <c r="A218" s="339"/>
      <c r="B218" s="327"/>
      <c r="C218" s="327"/>
      <c r="D218" s="150" t="s">
        <v>31</v>
      </c>
      <c r="E218" s="311"/>
      <c r="F218" s="311"/>
      <c r="G218" s="311"/>
      <c r="H218" s="311"/>
      <c r="I218" s="26"/>
      <c r="J218" s="311"/>
      <c r="K218" s="311"/>
      <c r="L218" s="311"/>
      <c r="M218" s="311"/>
      <c r="N218" s="311"/>
      <c r="O218" s="26"/>
      <c r="P218" s="311"/>
      <c r="Q218" s="311"/>
      <c r="R218" s="311"/>
      <c r="S218" s="311"/>
      <c r="T218" s="311"/>
      <c r="U218" s="311"/>
      <c r="V218" s="311"/>
      <c r="W218" s="311"/>
      <c r="X218" s="311"/>
      <c r="Y218" s="311"/>
      <c r="Z218" s="311"/>
      <c r="AA218" s="311"/>
      <c r="AB218" s="311"/>
      <c r="AC218" s="311"/>
      <c r="AD218" s="311"/>
      <c r="AE218" s="311"/>
      <c r="AF218" s="311"/>
      <c r="AG218" s="26"/>
      <c r="AH218" s="311"/>
    </row>
    <row r="219" spans="1:34" x14ac:dyDescent="0.2">
      <c r="A219" s="82"/>
      <c r="B219" s="73"/>
      <c r="C219" s="73"/>
      <c r="D219" s="151"/>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65" t="s">
        <v>34</v>
      </c>
      <c r="B220" s="152"/>
      <c r="C220" s="83"/>
      <c r="D220" s="62"/>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ht="10.8" thickBot="1" x14ac:dyDescent="0.25">
      <c r="A221" s="65"/>
      <c r="B221" s="152"/>
      <c r="C221" s="83"/>
      <c r="D221" s="153"/>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334"/>
      <c r="B222" s="333" t="s">
        <v>38</v>
      </c>
      <c r="C222" s="334"/>
      <c r="D222" s="154"/>
      <c r="E222" s="22">
        <v>2026</v>
      </c>
      <c r="F222" s="22"/>
      <c r="G222" s="316"/>
      <c r="H222" s="316"/>
      <c r="I222" s="21" t="s">
        <v>5</v>
      </c>
      <c r="J222" s="21"/>
      <c r="K222" s="22">
        <v>2027</v>
      </c>
      <c r="L222" s="22"/>
      <c r="M222" s="316"/>
      <c r="N222" s="316"/>
      <c r="O222" s="21" t="s">
        <v>5</v>
      </c>
      <c r="P222" s="21"/>
      <c r="Q222" s="22">
        <v>2028</v>
      </c>
      <c r="R222" s="22"/>
      <c r="S222" s="155"/>
      <c r="T222" s="155"/>
      <c r="U222" s="21" t="s">
        <v>5</v>
      </c>
      <c r="V222" s="21"/>
      <c r="W222" s="22"/>
      <c r="X222" s="22"/>
      <c r="Y222" s="316">
        <v>2029</v>
      </c>
      <c r="Z222" s="316"/>
      <c r="AA222" s="21" t="s">
        <v>5</v>
      </c>
      <c r="AB222" s="21"/>
      <c r="AC222" s="22">
        <v>2030</v>
      </c>
      <c r="AD222" s="22"/>
      <c r="AE222" s="316"/>
      <c r="AF222" s="316"/>
      <c r="AG222" s="21" t="s">
        <v>5</v>
      </c>
      <c r="AH222" s="21"/>
    </row>
    <row r="223" spans="1:34" ht="23.25" customHeight="1" thickBot="1" x14ac:dyDescent="0.25">
      <c r="A223" s="334"/>
      <c r="B223" s="333"/>
      <c r="C223" s="334"/>
      <c r="D223" s="156"/>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ht="10.8" thickBot="1" x14ac:dyDescent="0.25">
      <c r="A224" s="69">
        <v>0</v>
      </c>
      <c r="B224" s="66">
        <v>1</v>
      </c>
      <c r="C224" s="69">
        <v>2</v>
      </c>
      <c r="D224" s="144">
        <v>3</v>
      </c>
      <c r="E224" s="69" t="s">
        <v>113</v>
      </c>
      <c r="F224" s="69" t="s">
        <v>114</v>
      </c>
      <c r="G224" s="69" t="s">
        <v>115</v>
      </c>
      <c r="H224" s="69" t="s">
        <v>116</v>
      </c>
      <c r="I224" s="69"/>
      <c r="J224" s="69"/>
      <c r="K224" s="69" t="s">
        <v>113</v>
      </c>
      <c r="L224" s="69" t="s">
        <v>114</v>
      </c>
      <c r="M224" s="69" t="s">
        <v>115</v>
      </c>
      <c r="N224" s="69" t="s">
        <v>116</v>
      </c>
      <c r="O224" s="69"/>
      <c r="P224" s="69"/>
      <c r="Q224" s="69" t="s">
        <v>113</v>
      </c>
      <c r="R224" s="69" t="s">
        <v>114</v>
      </c>
      <c r="S224" s="69" t="s">
        <v>115</v>
      </c>
      <c r="T224" s="69" t="s">
        <v>116</v>
      </c>
      <c r="U224" s="69"/>
      <c r="V224" s="69"/>
      <c r="W224" s="69" t="s">
        <v>113</v>
      </c>
      <c r="X224" s="69" t="s">
        <v>114</v>
      </c>
      <c r="Y224" s="69" t="s">
        <v>115</v>
      </c>
      <c r="Z224" s="69" t="s">
        <v>116</v>
      </c>
      <c r="AA224" s="69"/>
      <c r="AB224" s="69"/>
      <c r="AC224" s="69" t="s">
        <v>113</v>
      </c>
      <c r="AD224" s="69" t="s">
        <v>114</v>
      </c>
      <c r="AE224" s="69" t="s">
        <v>115</v>
      </c>
      <c r="AF224" s="69" t="s">
        <v>116</v>
      </c>
      <c r="AG224" s="69"/>
      <c r="AH224" s="69"/>
    </row>
    <row r="225" spans="1:34" ht="10.8" thickBot="1" x14ac:dyDescent="0.25">
      <c r="A225" s="65">
        <v>3.1</v>
      </c>
      <c r="B225" s="418" t="s">
        <v>105</v>
      </c>
      <c r="C225" s="419"/>
      <c r="D225" s="326"/>
      <c r="E225" s="326"/>
      <c r="F225" s="326"/>
      <c r="G225" s="326"/>
      <c r="H225" s="326"/>
      <c r="I225" s="326"/>
      <c r="J225" s="326"/>
      <c r="K225" s="326"/>
      <c r="L225" s="326"/>
      <c r="M225" s="326"/>
      <c r="N225" s="326"/>
      <c r="O225" s="326"/>
      <c r="P225" s="326"/>
      <c r="Q225" s="326"/>
      <c r="R225" s="326"/>
      <c r="S225" s="326"/>
      <c r="T225" s="326"/>
      <c r="U225" s="326"/>
      <c r="V225" s="326"/>
      <c r="W225" s="326"/>
      <c r="X225" s="326"/>
      <c r="Y225" s="326"/>
      <c r="Z225" s="326"/>
      <c r="AA225" s="326"/>
      <c r="AB225" s="326"/>
      <c r="AC225" s="326"/>
      <c r="AD225" s="326"/>
      <c r="AE225" s="326"/>
      <c r="AF225" s="326"/>
      <c r="AG225" s="326"/>
      <c r="AH225" s="420"/>
    </row>
    <row r="226" spans="1:34" ht="15.75" customHeight="1" thickBot="1" x14ac:dyDescent="0.25">
      <c r="A226" s="339"/>
      <c r="B226" s="327" t="s">
        <v>45</v>
      </c>
      <c r="C226" s="327"/>
      <c r="D226" s="110" t="s">
        <v>101</v>
      </c>
      <c r="E226" s="23">
        <v>4124</v>
      </c>
      <c r="F226" s="23">
        <v>4126</v>
      </c>
      <c r="G226" s="23">
        <v>4129</v>
      </c>
      <c r="H226" s="23">
        <v>4131</v>
      </c>
      <c r="I226" s="41"/>
      <c r="J226" s="41">
        <v>4131</v>
      </c>
      <c r="K226" s="23">
        <v>4134</v>
      </c>
      <c r="L226" s="23">
        <v>4136</v>
      </c>
      <c r="M226" s="23">
        <v>4139</v>
      </c>
      <c r="N226" s="23">
        <v>4141</v>
      </c>
      <c r="O226" s="41"/>
      <c r="P226" s="41">
        <v>4141</v>
      </c>
      <c r="Q226" s="23">
        <v>4144</v>
      </c>
      <c r="R226" s="23">
        <v>4146</v>
      </c>
      <c r="S226" s="23">
        <v>4149</v>
      </c>
      <c r="T226" s="23">
        <v>4151</v>
      </c>
      <c r="U226" s="23"/>
      <c r="V226" s="41">
        <v>4151</v>
      </c>
      <c r="W226" s="23">
        <v>4161</v>
      </c>
      <c r="X226" s="23">
        <v>4171</v>
      </c>
      <c r="Y226" s="23">
        <v>4181</v>
      </c>
      <c r="Z226" s="23">
        <v>4191</v>
      </c>
      <c r="AA226" s="41"/>
      <c r="AB226" s="85">
        <v>4191</v>
      </c>
      <c r="AC226" s="23">
        <v>4182</v>
      </c>
      <c r="AD226" s="23">
        <v>4185</v>
      </c>
      <c r="AE226" s="23">
        <v>4188</v>
      </c>
      <c r="AF226" s="23">
        <v>4191</v>
      </c>
      <c r="AG226" s="41"/>
      <c r="AH226" s="85">
        <v>4191</v>
      </c>
    </row>
    <row r="227" spans="1:34" ht="27.6" customHeight="1" thickBot="1" x14ac:dyDescent="0.25">
      <c r="A227" s="339"/>
      <c r="B227" s="327"/>
      <c r="C227" s="327"/>
      <c r="D227" s="157" t="s">
        <v>32</v>
      </c>
      <c r="E227" s="26">
        <v>82.32</v>
      </c>
      <c r="F227" s="26">
        <v>82.32</v>
      </c>
      <c r="G227" s="26">
        <v>82.32</v>
      </c>
      <c r="H227" s="26">
        <v>82.32</v>
      </c>
      <c r="I227" s="26"/>
      <c r="J227" s="26">
        <v>82.32</v>
      </c>
      <c r="K227" s="26">
        <v>82.32</v>
      </c>
      <c r="L227" s="26">
        <v>82.32</v>
      </c>
      <c r="M227" s="26">
        <v>82.32</v>
      </c>
      <c r="N227" s="26">
        <v>82.32</v>
      </c>
      <c r="O227" s="26"/>
      <c r="P227" s="26">
        <v>82.32</v>
      </c>
      <c r="Q227" s="26">
        <v>82.32</v>
      </c>
      <c r="R227" s="26">
        <v>82.32</v>
      </c>
      <c r="S227" s="26">
        <v>82.32</v>
      </c>
      <c r="T227" s="26">
        <v>82.32</v>
      </c>
      <c r="U227" s="44"/>
      <c r="V227" s="26">
        <v>82.32</v>
      </c>
      <c r="W227" s="58">
        <f t="shared" ref="W227:Z228" si="3">82.32+4.956</f>
        <v>87.275999999999996</v>
      </c>
      <c r="X227" s="58">
        <f t="shared" si="3"/>
        <v>87.275999999999996</v>
      </c>
      <c r="Y227" s="58">
        <f t="shared" si="3"/>
        <v>87.275999999999996</v>
      </c>
      <c r="Z227" s="58">
        <f t="shared" si="3"/>
        <v>87.275999999999996</v>
      </c>
      <c r="AA227" s="26"/>
      <c r="AB227" s="58">
        <f>82.32+4.956</f>
        <v>87.275999999999996</v>
      </c>
      <c r="AC227" s="58">
        <f t="shared" ref="AC227:AF228" si="4">82.32+4.956</f>
        <v>87.275999999999996</v>
      </c>
      <c r="AD227" s="58">
        <f t="shared" si="4"/>
        <v>87.275999999999996</v>
      </c>
      <c r="AE227" s="58">
        <f t="shared" si="4"/>
        <v>87.275999999999996</v>
      </c>
      <c r="AF227" s="58">
        <f t="shared" si="4"/>
        <v>87.275999999999996</v>
      </c>
      <c r="AG227" s="26"/>
      <c r="AH227" s="58">
        <f>AB227</f>
        <v>87.275999999999996</v>
      </c>
    </row>
    <row r="228" spans="1:34" ht="15.75" customHeight="1" thickBot="1" x14ac:dyDescent="0.25">
      <c r="A228" s="339"/>
      <c r="B228" s="327" t="s">
        <v>46</v>
      </c>
      <c r="C228" s="327"/>
      <c r="D228" s="110" t="s">
        <v>32</v>
      </c>
      <c r="E228" s="26">
        <v>82.32</v>
      </c>
      <c r="F228" s="26">
        <v>82.32</v>
      </c>
      <c r="G228" s="26">
        <v>82.32</v>
      </c>
      <c r="H228" s="26">
        <v>82.32</v>
      </c>
      <c r="I228" s="26"/>
      <c r="J228" s="26">
        <v>82.32</v>
      </c>
      <c r="K228" s="26">
        <v>82.32</v>
      </c>
      <c r="L228" s="26">
        <v>82.32</v>
      </c>
      <c r="M228" s="26">
        <v>82.32</v>
      </c>
      <c r="N228" s="26">
        <v>82.32</v>
      </c>
      <c r="O228" s="26"/>
      <c r="P228" s="26">
        <v>82.32</v>
      </c>
      <c r="Q228" s="26">
        <v>82.32</v>
      </c>
      <c r="R228" s="26">
        <v>82.32</v>
      </c>
      <c r="S228" s="26">
        <v>82.32</v>
      </c>
      <c r="T228" s="26">
        <v>82.32</v>
      </c>
      <c r="U228" s="44"/>
      <c r="V228" s="26">
        <v>82.32</v>
      </c>
      <c r="W228" s="58">
        <f t="shared" si="3"/>
        <v>87.275999999999996</v>
      </c>
      <c r="X228" s="58">
        <f t="shared" si="3"/>
        <v>87.275999999999996</v>
      </c>
      <c r="Y228" s="58">
        <f t="shared" si="3"/>
        <v>87.275999999999996</v>
      </c>
      <c r="Z228" s="58">
        <f t="shared" si="3"/>
        <v>87.275999999999996</v>
      </c>
      <c r="AA228" s="26"/>
      <c r="AB228" s="58">
        <f>82.32+4.956</f>
        <v>87.275999999999996</v>
      </c>
      <c r="AC228" s="58">
        <f t="shared" si="4"/>
        <v>87.275999999999996</v>
      </c>
      <c r="AD228" s="58">
        <f t="shared" si="4"/>
        <v>87.275999999999996</v>
      </c>
      <c r="AE228" s="58">
        <f t="shared" si="4"/>
        <v>87.275999999999996</v>
      </c>
      <c r="AF228" s="58">
        <f t="shared" si="4"/>
        <v>87.275999999999996</v>
      </c>
      <c r="AG228" s="26"/>
      <c r="AH228" s="58">
        <f>AB228</f>
        <v>87.275999999999996</v>
      </c>
    </row>
    <row r="229" spans="1:34" ht="23.4" customHeight="1" thickBot="1" x14ac:dyDescent="0.25">
      <c r="A229" s="339"/>
      <c r="B229" s="327"/>
      <c r="C229" s="327"/>
      <c r="D229" s="158" t="s">
        <v>143</v>
      </c>
      <c r="E229" s="23">
        <v>9303.3374999999996</v>
      </c>
      <c r="F229" s="23">
        <v>9450.9750000000004</v>
      </c>
      <c r="G229" s="23">
        <v>9598.6124999999993</v>
      </c>
      <c r="H229" s="23">
        <v>9746.25</v>
      </c>
      <c r="I229" s="41"/>
      <c r="J229" s="41">
        <v>9746.25</v>
      </c>
      <c r="K229" s="47">
        <v>9893.8875000000007</v>
      </c>
      <c r="L229" s="47">
        <v>10041.525</v>
      </c>
      <c r="M229" s="47">
        <v>10189.1625</v>
      </c>
      <c r="N229" s="47">
        <v>10336.799999999999</v>
      </c>
      <c r="O229" s="41"/>
      <c r="P229" s="41">
        <v>10336.799999999999</v>
      </c>
      <c r="Q229" s="47">
        <v>10643.174999999999</v>
      </c>
      <c r="R229" s="47">
        <v>10949.55</v>
      </c>
      <c r="S229" s="47">
        <v>11255.924999999999</v>
      </c>
      <c r="T229" s="47">
        <v>11562.3</v>
      </c>
      <c r="U229" s="47"/>
      <c r="V229" s="41">
        <v>11562.3</v>
      </c>
      <c r="W229" s="47">
        <v>11861.78175</v>
      </c>
      <c r="X229" s="47">
        <v>12161.263499999999</v>
      </c>
      <c r="Y229" s="47">
        <v>12460.74525</v>
      </c>
      <c r="Z229" s="47">
        <v>12760.227000000001</v>
      </c>
      <c r="AA229" s="41"/>
      <c r="AB229" s="41">
        <v>12760.227000000001</v>
      </c>
      <c r="AC229" s="47">
        <v>12731.516489</v>
      </c>
      <c r="AD229" s="47">
        <v>12741.086660000001</v>
      </c>
      <c r="AE229" s="47">
        <v>12750.65683</v>
      </c>
      <c r="AF229" s="47">
        <v>12760.227000000001</v>
      </c>
      <c r="AG229" s="41"/>
      <c r="AH229" s="41">
        <v>12760.227000000001</v>
      </c>
    </row>
    <row r="230" spans="1:34" ht="15.75" customHeight="1" thickBot="1" x14ac:dyDescent="0.25">
      <c r="A230" s="339"/>
      <c r="B230" s="327" t="s">
        <v>47</v>
      </c>
      <c r="C230" s="327"/>
      <c r="D230" s="110" t="s">
        <v>32</v>
      </c>
      <c r="E230" s="26">
        <v>82.32</v>
      </c>
      <c r="F230" s="26">
        <v>82.32</v>
      </c>
      <c r="G230" s="26">
        <v>82.32</v>
      </c>
      <c r="H230" s="26">
        <v>82.32</v>
      </c>
      <c r="I230" s="41"/>
      <c r="J230" s="26">
        <v>82.32</v>
      </c>
      <c r="K230" s="26">
        <v>82.32</v>
      </c>
      <c r="L230" s="26">
        <v>82.32</v>
      </c>
      <c r="M230" s="26">
        <v>82.32</v>
      </c>
      <c r="N230" s="26">
        <v>82.32</v>
      </c>
      <c r="O230" s="26"/>
      <c r="P230" s="26">
        <v>82.32</v>
      </c>
      <c r="Q230" s="26">
        <v>82.32</v>
      </c>
      <c r="R230" s="26">
        <v>82.32</v>
      </c>
      <c r="S230" s="26">
        <v>82.32</v>
      </c>
      <c r="T230" s="26">
        <v>82.32</v>
      </c>
      <c r="U230" s="44"/>
      <c r="V230" s="26">
        <v>82.32</v>
      </c>
      <c r="W230" s="58">
        <f>82.32+4.956</f>
        <v>87.275999999999996</v>
      </c>
      <c r="X230" s="58">
        <f>82.32+4.956</f>
        <v>87.275999999999996</v>
      </c>
      <c r="Y230" s="58">
        <f>82.32+4.956</f>
        <v>87.275999999999996</v>
      </c>
      <c r="Z230" s="58">
        <f>82.32+4.956</f>
        <v>87.275999999999996</v>
      </c>
      <c r="AA230" s="26"/>
      <c r="AB230" s="58">
        <f>82.32+4.956</f>
        <v>87.275999999999996</v>
      </c>
      <c r="AC230" s="58">
        <f>82.32+4.956</f>
        <v>87.275999999999996</v>
      </c>
      <c r="AD230" s="58">
        <f>82.32+4.956</f>
        <v>87.275999999999996</v>
      </c>
      <c r="AE230" s="58">
        <f>82.32+4.956</f>
        <v>87.275999999999996</v>
      </c>
      <c r="AF230" s="58">
        <f>82.32+4.956</f>
        <v>87.275999999999996</v>
      </c>
      <c r="AG230" s="26"/>
      <c r="AH230" s="58">
        <f>AB230</f>
        <v>87.275999999999996</v>
      </c>
    </row>
    <row r="231" spans="1:34" ht="32.4" customHeight="1" thickBot="1" x14ac:dyDescent="0.25">
      <c r="A231" s="339"/>
      <c r="B231" s="327"/>
      <c r="C231" s="327"/>
      <c r="D231" s="158" t="s">
        <v>143</v>
      </c>
      <c r="E231" s="23">
        <v>9303.3374999999996</v>
      </c>
      <c r="F231" s="23">
        <v>9450.9750000000004</v>
      </c>
      <c r="G231" s="23">
        <v>9598.6124999999993</v>
      </c>
      <c r="H231" s="23">
        <v>9746.25</v>
      </c>
      <c r="I231" s="41"/>
      <c r="J231" s="41">
        <v>9746.25</v>
      </c>
      <c r="K231" s="47">
        <v>9893.8875000000007</v>
      </c>
      <c r="L231" s="47">
        <v>10041.525</v>
      </c>
      <c r="M231" s="47">
        <v>10189.1625</v>
      </c>
      <c r="N231" s="47">
        <v>10336.799999999999</v>
      </c>
      <c r="O231" s="41"/>
      <c r="P231" s="41">
        <v>10336.799999999999</v>
      </c>
      <c r="Q231" s="47">
        <v>10643.174999999999</v>
      </c>
      <c r="R231" s="47">
        <v>10949.55</v>
      </c>
      <c r="S231" s="47">
        <v>11255.924999999999</v>
      </c>
      <c r="T231" s="47">
        <v>11562.3</v>
      </c>
      <c r="U231" s="47"/>
      <c r="V231" s="41">
        <v>11562.3</v>
      </c>
      <c r="W231" s="47">
        <v>11861.78175</v>
      </c>
      <c r="X231" s="47">
        <v>12161.263499999999</v>
      </c>
      <c r="Y231" s="47">
        <v>12460.74525</v>
      </c>
      <c r="Z231" s="47">
        <v>12760.227000000001</v>
      </c>
      <c r="AA231" s="41"/>
      <c r="AB231" s="41">
        <v>12760.227000000001</v>
      </c>
      <c r="AC231" s="47">
        <v>12731.516489</v>
      </c>
      <c r="AD231" s="47">
        <v>12741.086660000001</v>
      </c>
      <c r="AE231" s="47">
        <v>12750.65683</v>
      </c>
      <c r="AF231" s="47">
        <v>12760.227000000001</v>
      </c>
      <c r="AG231" s="41"/>
      <c r="AH231" s="41">
        <v>12760.227000000001</v>
      </c>
    </row>
    <row r="232" spans="1:34" ht="10.8" thickBot="1" x14ac:dyDescent="0.25">
      <c r="A232" s="339"/>
      <c r="B232" s="327" t="s">
        <v>36</v>
      </c>
      <c r="C232" s="327"/>
      <c r="D232" s="110" t="s">
        <v>144</v>
      </c>
      <c r="E232" s="23">
        <v>1273</v>
      </c>
      <c r="F232" s="23">
        <v>1275</v>
      </c>
      <c r="G232" s="23">
        <v>1276</v>
      </c>
      <c r="H232" s="23">
        <v>1277</v>
      </c>
      <c r="I232" s="41"/>
      <c r="J232" s="41">
        <v>1277</v>
      </c>
      <c r="K232" s="23">
        <v>1278</v>
      </c>
      <c r="L232" s="23">
        <v>1280</v>
      </c>
      <c r="M232" s="23">
        <v>1281</v>
      </c>
      <c r="N232" s="23">
        <v>1282</v>
      </c>
      <c r="O232" s="41"/>
      <c r="P232" s="41">
        <v>1282</v>
      </c>
      <c r="Q232" s="23">
        <v>1283</v>
      </c>
      <c r="R232" s="23">
        <v>1285</v>
      </c>
      <c r="S232" s="23">
        <v>1286</v>
      </c>
      <c r="T232" s="23">
        <v>1287</v>
      </c>
      <c r="U232" s="41"/>
      <c r="V232" s="41">
        <v>1287</v>
      </c>
      <c r="W232" s="23">
        <v>1288</v>
      </c>
      <c r="X232" s="23">
        <v>1290</v>
      </c>
      <c r="Y232" s="23">
        <v>1291</v>
      </c>
      <c r="Z232" s="23">
        <v>1292</v>
      </c>
      <c r="AA232" s="41"/>
      <c r="AB232" s="41">
        <v>1292</v>
      </c>
      <c r="AC232" s="23">
        <v>1293</v>
      </c>
      <c r="AD232" s="23">
        <v>1295</v>
      </c>
      <c r="AE232" s="23">
        <v>1296</v>
      </c>
      <c r="AF232" s="23">
        <v>1297</v>
      </c>
      <c r="AG232" s="41"/>
      <c r="AH232" s="41">
        <v>1297</v>
      </c>
    </row>
    <row r="233" spans="1:34" ht="10.8" thickBot="1" x14ac:dyDescent="0.25">
      <c r="A233" s="339"/>
      <c r="B233" s="327"/>
      <c r="C233" s="327"/>
      <c r="D233" s="158" t="s">
        <v>32</v>
      </c>
      <c r="E233" s="26">
        <f>53.87</f>
        <v>53.87</v>
      </c>
      <c r="F233" s="26">
        <f>53.87</f>
        <v>53.87</v>
      </c>
      <c r="G233" s="26">
        <f>53.87</f>
        <v>53.87</v>
      </c>
      <c r="H233" s="26">
        <f>53.87</f>
        <v>53.87</v>
      </c>
      <c r="I233" s="41"/>
      <c r="J233" s="26">
        <f>53.87</f>
        <v>53.87</v>
      </c>
      <c r="K233" s="26">
        <f>53.87</f>
        <v>53.87</v>
      </c>
      <c r="L233" s="26">
        <f>53.87</f>
        <v>53.87</v>
      </c>
      <c r="M233" s="26">
        <f>53.87</f>
        <v>53.87</v>
      </c>
      <c r="N233" s="26">
        <f>53.87</f>
        <v>53.87</v>
      </c>
      <c r="O233" s="41"/>
      <c r="P233" s="26">
        <f>53.87</f>
        <v>53.87</v>
      </c>
      <c r="Q233" s="26">
        <f>53.87</f>
        <v>53.87</v>
      </c>
      <c r="R233" s="26">
        <f>53.87</f>
        <v>53.87</v>
      </c>
      <c r="S233" s="26">
        <f>53.87</f>
        <v>53.87</v>
      </c>
      <c r="T233" s="26">
        <f>53.87</f>
        <v>53.87</v>
      </c>
      <c r="U233" s="41"/>
      <c r="V233" s="26">
        <f>53.87</f>
        <v>53.87</v>
      </c>
      <c r="W233" s="26">
        <f>53.87+5.11</f>
        <v>58.98</v>
      </c>
      <c r="X233" s="26">
        <f>53.87+5.11</f>
        <v>58.98</v>
      </c>
      <c r="Y233" s="26">
        <f>53.87+5.11</f>
        <v>58.98</v>
      </c>
      <c r="Z233" s="26">
        <f>53.87+5.11</f>
        <v>58.98</v>
      </c>
      <c r="AA233" s="41"/>
      <c r="AB233" s="26">
        <f>53.87+5.11</f>
        <v>58.98</v>
      </c>
      <c r="AC233" s="26">
        <f>53.87+5.11</f>
        <v>58.98</v>
      </c>
      <c r="AD233" s="26">
        <f>53.87+5.11</f>
        <v>58.98</v>
      </c>
      <c r="AE233" s="26">
        <f>53.87+5.11</f>
        <v>58.98</v>
      </c>
      <c r="AF233" s="26">
        <f>53.87+5.11</f>
        <v>58.98</v>
      </c>
      <c r="AG233" s="41"/>
      <c r="AH233" s="26">
        <f>53.87+5.11</f>
        <v>58.98</v>
      </c>
    </row>
    <row r="234" spans="1:34" ht="34.200000000000003" customHeight="1" thickBot="1" x14ac:dyDescent="0.25">
      <c r="A234" s="339"/>
      <c r="B234" s="327" t="s">
        <v>48</v>
      </c>
      <c r="C234" s="327"/>
      <c r="D234" s="109" t="s">
        <v>143</v>
      </c>
      <c r="E234" s="19">
        <v>2807.8</v>
      </c>
      <c r="F234" s="19">
        <v>2868.15</v>
      </c>
      <c r="G234" s="19">
        <v>2928.5</v>
      </c>
      <c r="H234" s="19">
        <v>2988.85</v>
      </c>
      <c r="I234" s="41"/>
      <c r="J234" s="41">
        <v>2988.85</v>
      </c>
      <c r="K234" s="19">
        <v>3049.2</v>
      </c>
      <c r="L234" s="19">
        <v>3109.55</v>
      </c>
      <c r="M234" s="19">
        <v>3169.9</v>
      </c>
      <c r="N234" s="19">
        <v>3230.25</v>
      </c>
      <c r="O234" s="41"/>
      <c r="P234" s="41">
        <v>3230.25</v>
      </c>
      <c r="Q234" s="19">
        <v>3386.2125000000001</v>
      </c>
      <c r="R234" s="19">
        <v>3542.1750000000002</v>
      </c>
      <c r="S234" s="19">
        <v>3698.1374999999998</v>
      </c>
      <c r="T234" s="19">
        <v>3854.1</v>
      </c>
      <c r="U234" s="41"/>
      <c r="V234" s="41">
        <v>3854.1</v>
      </c>
      <c r="W234" s="19">
        <v>5764.5</v>
      </c>
      <c r="X234" s="19">
        <v>7674.9</v>
      </c>
      <c r="Y234" s="19">
        <v>9585.2999999999993</v>
      </c>
      <c r="Z234" s="19">
        <v>11495.7</v>
      </c>
      <c r="AA234" s="41"/>
      <c r="AB234" s="41">
        <v>11495.7</v>
      </c>
      <c r="AC234" s="19">
        <v>11764.7775</v>
      </c>
      <c r="AD234" s="19">
        <v>12033.855</v>
      </c>
      <c r="AE234" s="19">
        <v>12302.932500000001</v>
      </c>
      <c r="AF234" s="19">
        <v>12572.01</v>
      </c>
      <c r="AG234" s="41"/>
      <c r="AH234" s="41">
        <v>12572.01</v>
      </c>
    </row>
    <row r="235" spans="1:34" ht="34.200000000000003" customHeight="1" thickBot="1" x14ac:dyDescent="0.25">
      <c r="A235" s="339"/>
      <c r="B235" s="327"/>
      <c r="C235" s="327"/>
      <c r="D235" s="159" t="s">
        <v>143</v>
      </c>
      <c r="E235" s="41">
        <f>13069-74</f>
        <v>12995</v>
      </c>
      <c r="F235" s="41">
        <f>13069-74</f>
        <v>12995</v>
      </c>
      <c r="G235" s="41">
        <f>13069-74</f>
        <v>12995</v>
      </c>
      <c r="H235" s="41">
        <f>13069-74</f>
        <v>12995</v>
      </c>
      <c r="I235" s="41"/>
      <c r="J235" s="41">
        <f>13069-74</f>
        <v>12995</v>
      </c>
      <c r="K235" s="41">
        <f>E235-74</f>
        <v>12921</v>
      </c>
      <c r="L235" s="41">
        <f>F235-74</f>
        <v>12921</v>
      </c>
      <c r="M235" s="41">
        <f>G235-74</f>
        <v>12921</v>
      </c>
      <c r="N235" s="41">
        <f>H235-74</f>
        <v>12921</v>
      </c>
      <c r="O235" s="41"/>
      <c r="P235" s="41">
        <f>J235-74</f>
        <v>12921</v>
      </c>
      <c r="Q235" s="41">
        <f>K235-74</f>
        <v>12847</v>
      </c>
      <c r="R235" s="41">
        <f>L235-74</f>
        <v>12847</v>
      </c>
      <c r="S235" s="41">
        <f>M235-74</f>
        <v>12847</v>
      </c>
      <c r="T235" s="41">
        <f>N235-74</f>
        <v>12847</v>
      </c>
      <c r="U235" s="41"/>
      <c r="V235" s="41">
        <f>P235-74</f>
        <v>12847</v>
      </c>
      <c r="W235" s="41">
        <f>Q235-74</f>
        <v>12773</v>
      </c>
      <c r="X235" s="41">
        <f>R235-74</f>
        <v>12773</v>
      </c>
      <c r="Y235" s="41">
        <f>S235-74</f>
        <v>12773</v>
      </c>
      <c r="Z235" s="41">
        <f>T235-74</f>
        <v>12773</v>
      </c>
      <c r="AA235" s="41"/>
      <c r="AB235" s="41">
        <f>V235-74</f>
        <v>12773</v>
      </c>
      <c r="AC235" s="41">
        <f>W235-74</f>
        <v>12699</v>
      </c>
      <c r="AD235" s="41">
        <f>X235-74</f>
        <v>12699</v>
      </c>
      <c r="AE235" s="41">
        <f>Y235-74</f>
        <v>12699</v>
      </c>
      <c r="AF235" s="41">
        <f>Z235-74</f>
        <v>12699</v>
      </c>
      <c r="AG235" s="41"/>
      <c r="AH235" s="41">
        <f>AB235-74</f>
        <v>12699</v>
      </c>
    </row>
    <row r="236" spans="1:34" ht="10.8" thickBot="1" x14ac:dyDescent="0.25">
      <c r="A236" s="65">
        <v>3.2</v>
      </c>
      <c r="B236" s="438" t="s">
        <v>37</v>
      </c>
      <c r="C236" s="439"/>
      <c r="D236" s="326"/>
      <c r="E236" s="326"/>
      <c r="F236" s="326"/>
      <c r="G236" s="326"/>
      <c r="H236" s="326"/>
      <c r="I236" s="326"/>
      <c r="J236" s="326"/>
      <c r="K236" s="326"/>
      <c r="L236" s="326"/>
      <c r="M236" s="326"/>
      <c r="N236" s="326"/>
      <c r="O236" s="326"/>
      <c r="P236" s="326"/>
      <c r="Q236" s="326"/>
      <c r="R236" s="326"/>
      <c r="S236" s="326"/>
      <c r="T236" s="326"/>
      <c r="U236" s="326"/>
      <c r="V236" s="326"/>
      <c r="W236" s="326"/>
      <c r="X236" s="326"/>
      <c r="Y236" s="326"/>
      <c r="Z236" s="326"/>
      <c r="AA236" s="326"/>
      <c r="AB236" s="326"/>
      <c r="AC236" s="326"/>
      <c r="AD236" s="326"/>
      <c r="AE236" s="326"/>
      <c r="AF236" s="326"/>
      <c r="AG236" s="326"/>
      <c r="AH236" s="420"/>
    </row>
    <row r="237" spans="1:34" ht="15.75" customHeight="1" x14ac:dyDescent="0.2">
      <c r="A237" s="328"/>
      <c r="B237" s="327" t="s">
        <v>102</v>
      </c>
      <c r="C237" s="86"/>
      <c r="D237" s="413" t="s">
        <v>78</v>
      </c>
      <c r="E237" s="252">
        <v>0</v>
      </c>
      <c r="F237" s="252">
        <v>0</v>
      </c>
      <c r="G237" s="252">
        <v>0</v>
      </c>
      <c r="H237" s="252">
        <v>0</v>
      </c>
      <c r="I237" s="45"/>
      <c r="J237" s="252">
        <v>0</v>
      </c>
      <c r="K237" s="252">
        <v>0</v>
      </c>
      <c r="L237" s="252">
        <v>0</v>
      </c>
      <c r="M237" s="252">
        <v>0</v>
      </c>
      <c r="N237" s="252">
        <v>0</v>
      </c>
      <c r="O237" s="252">
        <v>0</v>
      </c>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thickBot="1" x14ac:dyDescent="0.25">
      <c r="A238" s="306"/>
      <c r="B238" s="329"/>
      <c r="C238" s="83" t="s">
        <v>26</v>
      </c>
      <c r="D238" s="414"/>
      <c r="E238" s="309"/>
      <c r="F238" s="309"/>
      <c r="G238" s="309"/>
      <c r="H238" s="309"/>
      <c r="I238" s="45"/>
      <c r="J238" s="309"/>
      <c r="K238" s="309"/>
      <c r="L238" s="309"/>
      <c r="M238" s="309"/>
      <c r="N238" s="309"/>
      <c r="O238" s="309"/>
      <c r="P238" s="309"/>
      <c r="Q238" s="309"/>
      <c r="R238" s="309"/>
      <c r="S238" s="309"/>
      <c r="T238" s="309"/>
      <c r="U238" s="45"/>
      <c r="V238" s="309"/>
      <c r="W238" s="309"/>
      <c r="X238" s="309"/>
      <c r="Y238" s="309"/>
      <c r="Z238" s="309"/>
      <c r="AA238" s="45"/>
      <c r="AB238" s="309"/>
      <c r="AC238" s="309"/>
      <c r="AD238" s="309"/>
      <c r="AE238" s="309"/>
      <c r="AF238" s="309"/>
      <c r="AG238" s="45"/>
      <c r="AH238" s="309"/>
    </row>
    <row r="239" spans="1:34" ht="15.75" customHeight="1" x14ac:dyDescent="0.2">
      <c r="A239" s="306"/>
      <c r="B239" s="329"/>
      <c r="C239" s="330" t="s">
        <v>7</v>
      </c>
      <c r="D239" s="413" t="s">
        <v>78</v>
      </c>
      <c r="E239" s="252">
        <v>0.01</v>
      </c>
      <c r="F239" s="252">
        <v>0.01</v>
      </c>
      <c r="G239" s="252">
        <v>0.01</v>
      </c>
      <c r="H239" s="252">
        <v>0.01</v>
      </c>
      <c r="I239" s="45"/>
      <c r="J239" s="252">
        <v>0.01</v>
      </c>
      <c r="K239" s="252">
        <v>0.01</v>
      </c>
      <c r="L239" s="252">
        <v>0.01</v>
      </c>
      <c r="M239" s="252">
        <v>0.01</v>
      </c>
      <c r="N239" s="252">
        <v>0.01</v>
      </c>
      <c r="O239" s="252">
        <v>0.01</v>
      </c>
      <c r="P239" s="252">
        <v>0.01</v>
      </c>
      <c r="Q239" s="252">
        <v>0.01</v>
      </c>
      <c r="R239" s="252">
        <v>0.01</v>
      </c>
      <c r="S239" s="252">
        <v>0.01</v>
      </c>
      <c r="T239" s="252">
        <v>0.01</v>
      </c>
      <c r="U239" s="45"/>
      <c r="V239" s="252">
        <v>0.01</v>
      </c>
      <c r="W239" s="252">
        <v>0.01</v>
      </c>
      <c r="X239" s="252">
        <v>0.01</v>
      </c>
      <c r="Y239" s="252">
        <v>0.01</v>
      </c>
      <c r="Z239" s="252">
        <v>0.01</v>
      </c>
      <c r="AA239" s="45"/>
      <c r="AB239" s="252">
        <v>0.01</v>
      </c>
      <c r="AC239" s="252">
        <v>0.01</v>
      </c>
      <c r="AD239" s="252">
        <v>0.01</v>
      </c>
      <c r="AE239" s="252">
        <v>0.01</v>
      </c>
      <c r="AF239" s="252">
        <v>0.01</v>
      </c>
      <c r="AG239" s="45"/>
      <c r="AH239" s="252">
        <v>0.01</v>
      </c>
    </row>
    <row r="240" spans="1:34" ht="15.75" customHeight="1" thickBot="1" x14ac:dyDescent="0.25">
      <c r="A240" s="306"/>
      <c r="B240" s="329"/>
      <c r="C240" s="306"/>
      <c r="D240" s="414"/>
      <c r="E240" s="309"/>
      <c r="F240" s="309"/>
      <c r="G240" s="309"/>
      <c r="H240" s="309"/>
      <c r="I240" s="45"/>
      <c r="J240" s="309"/>
      <c r="K240" s="309"/>
      <c r="L240" s="309"/>
      <c r="M240" s="309"/>
      <c r="N240" s="309"/>
      <c r="O240" s="309"/>
      <c r="P240" s="309"/>
      <c r="Q240" s="309"/>
      <c r="R240" s="309"/>
      <c r="S240" s="309"/>
      <c r="T240" s="309"/>
      <c r="U240" s="45"/>
      <c r="V240" s="309"/>
      <c r="W240" s="309"/>
      <c r="X240" s="309"/>
      <c r="Y240" s="309"/>
      <c r="Z240" s="309"/>
      <c r="AA240" s="45"/>
      <c r="AB240" s="309"/>
      <c r="AC240" s="309"/>
      <c r="AD240" s="309"/>
      <c r="AE240" s="309"/>
      <c r="AF240" s="309"/>
      <c r="AG240" s="45"/>
      <c r="AH240" s="309"/>
    </row>
    <row r="241" spans="1:34" ht="23.25" customHeight="1" x14ac:dyDescent="0.2">
      <c r="A241" s="306"/>
      <c r="B241" s="329"/>
      <c r="C241" s="330" t="s">
        <v>8</v>
      </c>
      <c r="D241" s="413" t="s">
        <v>78</v>
      </c>
      <c r="E241" s="252">
        <v>0.01</v>
      </c>
      <c r="F241" s="252">
        <v>0.01</v>
      </c>
      <c r="G241" s="252">
        <v>0.01</v>
      </c>
      <c r="H241" s="252">
        <v>0.01</v>
      </c>
      <c r="I241" s="45"/>
      <c r="J241" s="252">
        <v>0.01</v>
      </c>
      <c r="K241" s="252">
        <v>0.01</v>
      </c>
      <c r="L241" s="252">
        <v>0.01</v>
      </c>
      <c r="M241" s="252">
        <v>0.01</v>
      </c>
      <c r="N241" s="252">
        <v>0.01</v>
      </c>
      <c r="O241" s="252">
        <v>0.01</v>
      </c>
      <c r="P241" s="252">
        <v>0.01</v>
      </c>
      <c r="Q241" s="252">
        <v>0.01</v>
      </c>
      <c r="R241" s="252">
        <v>0.01</v>
      </c>
      <c r="S241" s="252">
        <v>0.01</v>
      </c>
      <c r="T241" s="252">
        <v>0.01</v>
      </c>
      <c r="U241" s="45"/>
      <c r="V241" s="252">
        <v>0.01</v>
      </c>
      <c r="W241" s="252">
        <v>0.01</v>
      </c>
      <c r="X241" s="252">
        <v>0.01</v>
      </c>
      <c r="Y241" s="252">
        <v>0.01</v>
      </c>
      <c r="Z241" s="252">
        <v>0.01</v>
      </c>
      <c r="AA241" s="45"/>
      <c r="AB241" s="252">
        <v>0.01</v>
      </c>
      <c r="AC241" s="252">
        <v>0.01</v>
      </c>
      <c r="AD241" s="252">
        <v>0.01</v>
      </c>
      <c r="AE241" s="252">
        <v>0.01</v>
      </c>
      <c r="AF241" s="252">
        <v>0.01</v>
      </c>
      <c r="AG241" s="45"/>
      <c r="AH241" s="252">
        <v>0.01</v>
      </c>
    </row>
    <row r="242" spans="1:34" ht="18" customHeight="1" thickBot="1" x14ac:dyDescent="0.25">
      <c r="A242" s="306"/>
      <c r="B242" s="329"/>
      <c r="C242" s="306"/>
      <c r="D242" s="414"/>
      <c r="E242" s="309"/>
      <c r="F242" s="309"/>
      <c r="G242" s="309"/>
      <c r="H242" s="309"/>
      <c r="I242" s="45"/>
      <c r="J242" s="309"/>
      <c r="K242" s="309"/>
      <c r="L242" s="309"/>
      <c r="M242" s="309"/>
      <c r="N242" s="309"/>
      <c r="O242" s="309"/>
      <c r="P242" s="309"/>
      <c r="Q242" s="309"/>
      <c r="R242" s="309"/>
      <c r="S242" s="309"/>
      <c r="T242" s="309"/>
      <c r="U242" s="45"/>
      <c r="V242" s="309"/>
      <c r="W242" s="309"/>
      <c r="X242" s="309"/>
      <c r="Y242" s="309"/>
      <c r="Z242" s="309"/>
      <c r="AA242" s="45"/>
      <c r="AB242" s="309"/>
      <c r="AC242" s="309"/>
      <c r="AD242" s="309"/>
      <c r="AE242" s="309"/>
      <c r="AF242" s="309"/>
      <c r="AG242" s="45"/>
      <c r="AH242" s="309"/>
    </row>
    <row r="243" spans="1:34" ht="15.75" customHeight="1" x14ac:dyDescent="0.2">
      <c r="A243" s="306"/>
      <c r="B243" s="332" t="s">
        <v>103</v>
      </c>
      <c r="C243" s="330" t="s">
        <v>26</v>
      </c>
      <c r="D243" s="413" t="s">
        <v>78</v>
      </c>
      <c r="E243" s="252">
        <v>0</v>
      </c>
      <c r="F243" s="252">
        <v>0</v>
      </c>
      <c r="G243" s="252">
        <v>0</v>
      </c>
      <c r="H243" s="252">
        <v>0</v>
      </c>
      <c r="I243" s="45"/>
      <c r="J243" s="252">
        <v>0</v>
      </c>
      <c r="K243" s="252">
        <v>0</v>
      </c>
      <c r="L243" s="252">
        <v>0</v>
      </c>
      <c r="M243" s="252">
        <v>0</v>
      </c>
      <c r="N243" s="252">
        <v>0</v>
      </c>
      <c r="O243" s="252">
        <v>0</v>
      </c>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thickBot="1" x14ac:dyDescent="0.25">
      <c r="A244" s="306"/>
      <c r="B244" s="332"/>
      <c r="C244" s="306"/>
      <c r="D244" s="414"/>
      <c r="E244" s="309"/>
      <c r="F244" s="309"/>
      <c r="G244" s="309"/>
      <c r="H244" s="309"/>
      <c r="I244" s="45"/>
      <c r="J244" s="309"/>
      <c r="K244" s="309"/>
      <c r="L244" s="309"/>
      <c r="M244" s="309"/>
      <c r="N244" s="309"/>
      <c r="O244" s="309"/>
      <c r="P244" s="309"/>
      <c r="Q244" s="309"/>
      <c r="R244" s="309"/>
      <c r="S244" s="309"/>
      <c r="T244" s="309"/>
      <c r="U244" s="45"/>
      <c r="V244" s="309"/>
      <c r="W244" s="309"/>
      <c r="X244" s="309"/>
      <c r="Y244" s="309"/>
      <c r="Z244" s="309"/>
      <c r="AA244" s="45"/>
      <c r="AB244" s="309"/>
      <c r="AC244" s="309"/>
      <c r="AD244" s="309"/>
      <c r="AE244" s="309"/>
      <c r="AF244" s="309"/>
      <c r="AG244" s="45"/>
      <c r="AH244" s="309"/>
    </row>
    <row r="245" spans="1:34" ht="15.75" customHeight="1" x14ac:dyDescent="0.2">
      <c r="A245" s="306"/>
      <c r="B245" s="332"/>
      <c r="C245" s="330" t="s">
        <v>7</v>
      </c>
      <c r="D245" s="413" t="s">
        <v>78</v>
      </c>
      <c r="E245" s="252">
        <v>0</v>
      </c>
      <c r="F245" s="252">
        <v>0</v>
      </c>
      <c r="G245" s="252">
        <v>0</v>
      </c>
      <c r="H245" s="252">
        <v>0</v>
      </c>
      <c r="I245" s="45"/>
      <c r="J245" s="252">
        <v>0</v>
      </c>
      <c r="K245" s="252">
        <v>0</v>
      </c>
      <c r="L245" s="252">
        <v>0</v>
      </c>
      <c r="M245" s="252">
        <v>0</v>
      </c>
      <c r="N245" s="252">
        <v>0</v>
      </c>
      <c r="O245" s="252">
        <v>0</v>
      </c>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thickBot="1" x14ac:dyDescent="0.25">
      <c r="A246" s="306"/>
      <c r="B246" s="332"/>
      <c r="C246" s="306"/>
      <c r="D246" s="414"/>
      <c r="E246" s="309"/>
      <c r="F246" s="309"/>
      <c r="G246" s="309"/>
      <c r="H246" s="309"/>
      <c r="I246" s="45"/>
      <c r="J246" s="309"/>
      <c r="K246" s="309"/>
      <c r="L246" s="309"/>
      <c r="M246" s="309"/>
      <c r="N246" s="309"/>
      <c r="O246" s="309"/>
      <c r="P246" s="309"/>
      <c r="Q246" s="309"/>
      <c r="R246" s="309"/>
      <c r="S246" s="309"/>
      <c r="T246" s="309"/>
      <c r="U246" s="45"/>
      <c r="V246" s="309"/>
      <c r="W246" s="309"/>
      <c r="X246" s="309"/>
      <c r="Y246" s="309"/>
      <c r="Z246" s="309"/>
      <c r="AA246" s="45"/>
      <c r="AB246" s="309"/>
      <c r="AC246" s="309"/>
      <c r="AD246" s="309"/>
      <c r="AE246" s="309"/>
      <c r="AF246" s="309"/>
      <c r="AG246" s="45"/>
      <c r="AH246" s="309"/>
    </row>
    <row r="247" spans="1:34" ht="15.75" customHeight="1" x14ac:dyDescent="0.2">
      <c r="A247" s="306"/>
      <c r="B247" s="332"/>
      <c r="C247" s="306" t="s">
        <v>8</v>
      </c>
      <c r="D247" s="413" t="s">
        <v>78</v>
      </c>
      <c r="E247" s="252">
        <v>0</v>
      </c>
      <c r="F247" s="252">
        <v>0</v>
      </c>
      <c r="G247" s="252">
        <v>0</v>
      </c>
      <c r="H247" s="252">
        <v>0</v>
      </c>
      <c r="I247" s="45"/>
      <c r="J247" s="252">
        <v>0</v>
      </c>
      <c r="K247" s="252">
        <v>0</v>
      </c>
      <c r="L247" s="252">
        <v>0</v>
      </c>
      <c r="M247" s="252">
        <v>0</v>
      </c>
      <c r="N247" s="252">
        <v>0</v>
      </c>
      <c r="O247" s="252">
        <v>0</v>
      </c>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52.8" customHeight="1" thickBot="1" x14ac:dyDescent="0.25">
      <c r="A248" s="306"/>
      <c r="B248" s="332"/>
      <c r="C248" s="306"/>
      <c r="D248" s="414"/>
      <c r="E248" s="308"/>
      <c r="F248" s="308"/>
      <c r="G248" s="308"/>
      <c r="H248" s="308"/>
      <c r="I248" s="45"/>
      <c r="J248" s="308"/>
      <c r="K248" s="308"/>
      <c r="L248" s="308"/>
      <c r="M248" s="308"/>
      <c r="N248" s="308"/>
      <c r="O248" s="308"/>
      <c r="P248" s="308"/>
      <c r="Q248" s="308"/>
      <c r="R248" s="308"/>
      <c r="S248" s="308"/>
      <c r="T248" s="308"/>
      <c r="U248" s="45"/>
      <c r="V248" s="308"/>
      <c r="W248" s="308"/>
      <c r="X248" s="308"/>
      <c r="Y248" s="308"/>
      <c r="Z248" s="308"/>
      <c r="AA248" s="45"/>
      <c r="AB248" s="308"/>
      <c r="AC248" s="308"/>
      <c r="AD248" s="308"/>
      <c r="AE248" s="308"/>
      <c r="AF248" s="308"/>
      <c r="AG248" s="45"/>
      <c r="AH248" s="308"/>
    </row>
    <row r="249" spans="1:34" ht="15.75" customHeight="1" x14ac:dyDescent="0.2">
      <c r="A249" s="306"/>
      <c r="B249" s="327" t="s">
        <v>49</v>
      </c>
      <c r="C249" s="331" t="s">
        <v>26</v>
      </c>
      <c r="D249" s="413" t="s">
        <v>78</v>
      </c>
      <c r="E249" s="252">
        <v>0</v>
      </c>
      <c r="F249" s="252">
        <v>0</v>
      </c>
      <c r="G249" s="252">
        <v>0</v>
      </c>
      <c r="H249" s="252">
        <v>0</v>
      </c>
      <c r="I249" s="45"/>
      <c r="J249" s="252">
        <v>0</v>
      </c>
      <c r="K249" s="252">
        <v>0</v>
      </c>
      <c r="L249" s="252">
        <v>0</v>
      </c>
      <c r="M249" s="252">
        <v>0</v>
      </c>
      <c r="N249" s="252">
        <v>0</v>
      </c>
      <c r="O249" s="252">
        <v>0</v>
      </c>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thickBot="1" x14ac:dyDescent="0.25">
      <c r="A250" s="306"/>
      <c r="B250" s="327"/>
      <c r="C250" s="331"/>
      <c r="D250" s="414"/>
      <c r="E250" s="308"/>
      <c r="F250" s="308"/>
      <c r="G250" s="308"/>
      <c r="H250" s="308"/>
      <c r="I250" s="45"/>
      <c r="J250" s="308"/>
      <c r="K250" s="308"/>
      <c r="L250" s="308"/>
      <c r="M250" s="308"/>
      <c r="N250" s="308"/>
      <c r="O250" s="308"/>
      <c r="P250" s="308"/>
      <c r="Q250" s="308"/>
      <c r="R250" s="308"/>
      <c r="S250" s="308"/>
      <c r="T250" s="308"/>
      <c r="U250" s="45"/>
      <c r="V250" s="308"/>
      <c r="W250" s="308"/>
      <c r="X250" s="308"/>
      <c r="Y250" s="308"/>
      <c r="Z250" s="308"/>
      <c r="AA250" s="45"/>
      <c r="AB250" s="308"/>
      <c r="AC250" s="308"/>
      <c r="AD250" s="308"/>
      <c r="AE250" s="308"/>
      <c r="AF250" s="308"/>
      <c r="AG250" s="45"/>
      <c r="AH250" s="308"/>
    </row>
    <row r="251" spans="1:34" ht="15.75" customHeight="1" x14ac:dyDescent="0.2">
      <c r="A251" s="306"/>
      <c r="B251" s="327"/>
      <c r="C251" s="331" t="s">
        <v>7</v>
      </c>
      <c r="D251" s="413" t="s">
        <v>78</v>
      </c>
      <c r="E251" s="252">
        <v>0.02</v>
      </c>
      <c r="F251" s="252">
        <v>0.02</v>
      </c>
      <c r="G251" s="252">
        <v>0.02</v>
      </c>
      <c r="H251" s="252">
        <v>0.02</v>
      </c>
      <c r="I251" s="45"/>
      <c r="J251" s="252">
        <v>0.02</v>
      </c>
      <c r="K251" s="252">
        <v>0.02</v>
      </c>
      <c r="L251" s="252">
        <v>0.02</v>
      </c>
      <c r="M251" s="252">
        <v>0.02</v>
      </c>
      <c r="N251" s="252">
        <v>0.02</v>
      </c>
      <c r="O251" s="252">
        <v>0.02</v>
      </c>
      <c r="P251" s="252">
        <v>0.02</v>
      </c>
      <c r="Q251" s="252">
        <v>0.02</v>
      </c>
      <c r="R251" s="252">
        <v>0.02</v>
      </c>
      <c r="S251" s="252">
        <v>0.02</v>
      </c>
      <c r="T251" s="252">
        <v>0.02</v>
      </c>
      <c r="U251" s="45"/>
      <c r="V251" s="252">
        <v>0.02</v>
      </c>
      <c r="W251" s="252">
        <v>0.02</v>
      </c>
      <c r="X251" s="252">
        <v>0.02</v>
      </c>
      <c r="Y251" s="252">
        <v>0.02</v>
      </c>
      <c r="Z251" s="252">
        <v>0.02</v>
      </c>
      <c r="AA251" s="45"/>
      <c r="AB251" s="252">
        <v>0.02</v>
      </c>
      <c r="AC251" s="252">
        <v>0.02</v>
      </c>
      <c r="AD251" s="252">
        <v>0.02</v>
      </c>
      <c r="AE251" s="252">
        <v>0.02</v>
      </c>
      <c r="AF251" s="252">
        <v>0.02</v>
      </c>
      <c r="AG251" s="45"/>
      <c r="AH251" s="252">
        <v>0.02</v>
      </c>
    </row>
    <row r="252" spans="1:34" ht="15.75" customHeight="1" thickBot="1" x14ac:dyDescent="0.25">
      <c r="A252" s="306"/>
      <c r="B252" s="327"/>
      <c r="C252" s="331"/>
      <c r="D252" s="414"/>
      <c r="E252" s="308"/>
      <c r="F252" s="308"/>
      <c r="G252" s="308"/>
      <c r="H252" s="308"/>
      <c r="I252" s="45"/>
      <c r="J252" s="308"/>
      <c r="K252" s="308"/>
      <c r="L252" s="308"/>
      <c r="M252" s="308"/>
      <c r="N252" s="308"/>
      <c r="O252" s="308"/>
      <c r="P252" s="308"/>
      <c r="Q252" s="308"/>
      <c r="R252" s="308"/>
      <c r="S252" s="308"/>
      <c r="T252" s="308"/>
      <c r="U252" s="45"/>
      <c r="V252" s="308"/>
      <c r="W252" s="308"/>
      <c r="X252" s="308"/>
      <c r="Y252" s="308"/>
      <c r="Z252" s="308"/>
      <c r="AA252" s="45"/>
      <c r="AB252" s="308"/>
      <c r="AC252" s="308"/>
      <c r="AD252" s="308"/>
      <c r="AE252" s="308"/>
      <c r="AF252" s="308"/>
      <c r="AG252" s="45"/>
      <c r="AH252" s="308"/>
    </row>
    <row r="253" spans="1:34" ht="15.75" customHeight="1" x14ac:dyDescent="0.2">
      <c r="A253" s="306"/>
      <c r="B253" s="327"/>
      <c r="C253" s="331" t="s">
        <v>8</v>
      </c>
      <c r="D253" s="413" t="s">
        <v>78</v>
      </c>
      <c r="E253" s="252">
        <v>0.02</v>
      </c>
      <c r="F253" s="252">
        <v>0.02</v>
      </c>
      <c r="G253" s="252">
        <v>0.02</v>
      </c>
      <c r="H253" s="252">
        <v>0.02</v>
      </c>
      <c r="I253" s="45"/>
      <c r="J253" s="252">
        <v>0.02</v>
      </c>
      <c r="K253" s="252">
        <v>0.02</v>
      </c>
      <c r="L253" s="252">
        <v>0.02</v>
      </c>
      <c r="M253" s="252">
        <v>0.02</v>
      </c>
      <c r="N253" s="252">
        <v>0.02</v>
      </c>
      <c r="O253" s="252">
        <v>0.02</v>
      </c>
      <c r="P253" s="252">
        <v>0.02</v>
      </c>
      <c r="Q253" s="252">
        <v>0.02</v>
      </c>
      <c r="R253" s="252">
        <v>0.02</v>
      </c>
      <c r="S253" s="252">
        <v>0.02</v>
      </c>
      <c r="T253" s="252">
        <v>0.02</v>
      </c>
      <c r="U253" s="45"/>
      <c r="V253" s="252">
        <v>0.02</v>
      </c>
      <c r="W253" s="252">
        <v>0.02</v>
      </c>
      <c r="X253" s="252">
        <v>0.02</v>
      </c>
      <c r="Y253" s="252">
        <v>0.02</v>
      </c>
      <c r="Z253" s="252">
        <v>0.02</v>
      </c>
      <c r="AA253" s="45"/>
      <c r="AB253" s="252">
        <v>0.02</v>
      </c>
      <c r="AC253" s="252">
        <v>0.02</v>
      </c>
      <c r="AD253" s="252">
        <v>0.02</v>
      </c>
      <c r="AE253" s="252">
        <v>0.02</v>
      </c>
      <c r="AF253" s="252">
        <v>0.02</v>
      </c>
      <c r="AG253" s="45"/>
      <c r="AH253" s="252">
        <v>0.02</v>
      </c>
    </row>
    <row r="254" spans="1:34" ht="64.2" customHeight="1" thickBot="1" x14ac:dyDescent="0.25">
      <c r="A254" s="306"/>
      <c r="B254" s="327"/>
      <c r="C254" s="331"/>
      <c r="D254" s="414"/>
      <c r="E254" s="308"/>
      <c r="F254" s="308"/>
      <c r="G254" s="308"/>
      <c r="H254" s="308"/>
      <c r="I254" s="45"/>
      <c r="J254" s="308"/>
      <c r="K254" s="308"/>
      <c r="L254" s="308"/>
      <c r="M254" s="308"/>
      <c r="N254" s="308"/>
      <c r="O254" s="308"/>
      <c r="P254" s="308"/>
      <c r="Q254" s="308"/>
      <c r="R254" s="308"/>
      <c r="S254" s="308"/>
      <c r="T254" s="308"/>
      <c r="U254" s="45"/>
      <c r="V254" s="308"/>
      <c r="W254" s="308"/>
      <c r="X254" s="308"/>
      <c r="Y254" s="308"/>
      <c r="Z254" s="308"/>
      <c r="AA254" s="45"/>
      <c r="AB254" s="308"/>
      <c r="AC254" s="308"/>
      <c r="AD254" s="308"/>
      <c r="AE254" s="308"/>
      <c r="AF254" s="308"/>
      <c r="AG254" s="45"/>
      <c r="AH254" s="308"/>
    </row>
    <row r="255" spans="1:34" x14ac:dyDescent="0.2">
      <c r="A255" s="87"/>
      <c r="B255" s="6"/>
      <c r="C255" s="87"/>
      <c r="D255" s="87"/>
    </row>
    <row r="256" spans="1:34" x14ac:dyDescent="0.2">
      <c r="A256" s="89"/>
      <c r="B256" s="1"/>
      <c r="C256" s="89"/>
      <c r="D256" s="89"/>
    </row>
    <row r="257" spans="1:4" x14ac:dyDescent="0.2">
      <c r="A257" s="87"/>
      <c r="B257" s="160"/>
      <c r="C257" s="87"/>
      <c r="D257" s="87"/>
    </row>
    <row r="258" spans="1:4" x14ac:dyDescent="0.2">
      <c r="A258" s="87"/>
      <c r="B258" s="6"/>
      <c r="C258" s="87"/>
      <c r="D258" s="87"/>
    </row>
    <row r="259" spans="1:4" ht="71.400000000000006" x14ac:dyDescent="0.2">
      <c r="A259" s="87"/>
      <c r="B259" s="6" t="s">
        <v>145</v>
      </c>
      <c r="C259" s="87"/>
      <c r="D259" s="87"/>
    </row>
    <row r="260" spans="1:4" x14ac:dyDescent="0.2">
      <c r="A260" s="87"/>
      <c r="B260" s="6"/>
      <c r="C260" s="87"/>
      <c r="D260" s="87"/>
    </row>
    <row r="261" spans="1:4" x14ac:dyDescent="0.2">
      <c r="A261" s="87"/>
      <c r="B261" s="6"/>
      <c r="C261" s="87"/>
      <c r="D261" s="87"/>
    </row>
    <row r="262" spans="1:4" x14ac:dyDescent="0.2">
      <c r="A262" s="87"/>
      <c r="B262" s="6"/>
      <c r="C262" s="87"/>
      <c r="D262" s="87"/>
    </row>
    <row r="263" spans="1:4" x14ac:dyDescent="0.2">
      <c r="A263" s="87"/>
      <c r="B263" s="6"/>
      <c r="C263" s="87"/>
      <c r="D263" s="87"/>
    </row>
    <row r="264" spans="1:4" x14ac:dyDescent="0.2">
      <c r="A264" s="87"/>
      <c r="B264" s="6"/>
      <c r="C264" s="87"/>
      <c r="D264" s="87"/>
    </row>
    <row r="265" spans="1:4" x14ac:dyDescent="0.2">
      <c r="A265" s="87"/>
      <c r="B265" s="6"/>
      <c r="C265" s="87"/>
      <c r="D265" s="87"/>
    </row>
    <row r="266" spans="1:4" x14ac:dyDescent="0.2">
      <c r="A266" s="87"/>
      <c r="B266" s="6"/>
      <c r="C266" s="87"/>
      <c r="D266" s="87"/>
    </row>
    <row r="267" spans="1:4" x14ac:dyDescent="0.2">
      <c r="A267" s="87"/>
      <c r="B267" s="6"/>
      <c r="C267" s="87"/>
      <c r="D267" s="87"/>
    </row>
    <row r="268" spans="1:4" x14ac:dyDescent="0.2">
      <c r="A268" s="87"/>
      <c r="B268" s="6"/>
      <c r="C268" s="87"/>
      <c r="D268" s="87"/>
    </row>
    <row r="269" spans="1:4" x14ac:dyDescent="0.2">
      <c r="A269" s="87"/>
      <c r="B269" s="6"/>
      <c r="C269" s="87"/>
      <c r="D269" s="87"/>
    </row>
    <row r="270" spans="1:4" x14ac:dyDescent="0.2">
      <c r="A270" s="87"/>
      <c r="B270" s="6"/>
      <c r="C270" s="87"/>
      <c r="D270" s="87"/>
    </row>
    <row r="271" spans="1:4" x14ac:dyDescent="0.2">
      <c r="A271" s="87"/>
      <c r="B271" s="6"/>
      <c r="C271" s="87"/>
      <c r="D271" s="87"/>
    </row>
    <row r="272" spans="1:4" x14ac:dyDescent="0.2">
      <c r="A272" s="87"/>
      <c r="B272" s="6"/>
      <c r="C272" s="87"/>
      <c r="D272" s="87"/>
    </row>
    <row r="273" spans="1:4" x14ac:dyDescent="0.2">
      <c r="A273" s="87"/>
      <c r="B273" s="6"/>
      <c r="C273" s="87"/>
      <c r="D273" s="87"/>
    </row>
    <row r="274" spans="1:4" x14ac:dyDescent="0.2">
      <c r="A274" s="87"/>
      <c r="B274" s="6"/>
      <c r="C274" s="87"/>
      <c r="D274" s="87"/>
    </row>
    <row r="275" spans="1:4" x14ac:dyDescent="0.2">
      <c r="A275" s="87"/>
      <c r="B275" s="6"/>
      <c r="C275" s="87"/>
      <c r="D275" s="87"/>
    </row>
    <row r="276" spans="1:4" x14ac:dyDescent="0.2">
      <c r="A276" s="87"/>
      <c r="B276" s="6"/>
      <c r="C276" s="87"/>
      <c r="D276" s="87"/>
    </row>
    <row r="277" spans="1:4" x14ac:dyDescent="0.2">
      <c r="A277" s="87"/>
      <c r="B277" s="6"/>
      <c r="C277" s="87"/>
      <c r="D277" s="87"/>
    </row>
    <row r="278" spans="1:4" x14ac:dyDescent="0.2">
      <c r="D278" s="87"/>
    </row>
    <row r="279" spans="1:4" x14ac:dyDescent="0.2">
      <c r="D279" s="87"/>
    </row>
    <row r="280" spans="1:4" x14ac:dyDescent="0.2">
      <c r="D280" s="87"/>
    </row>
  </sheetData>
  <mergeCells count="2834">
    <mergeCell ref="C249:C250"/>
    <mergeCell ref="B213:C214"/>
    <mergeCell ref="B131:B136"/>
    <mergeCell ref="B189:C189"/>
    <mergeCell ref="B165:B170"/>
    <mergeCell ref="B171:B176"/>
    <mergeCell ref="B152:AH152"/>
    <mergeCell ref="B212:AH212"/>
    <mergeCell ref="B225:AH225"/>
    <mergeCell ref="C137:C138"/>
    <mergeCell ref="C93:C94"/>
    <mergeCell ref="C150:C151"/>
    <mergeCell ref="C120:C121"/>
    <mergeCell ref="C135:C136"/>
    <mergeCell ref="C125:C126"/>
    <mergeCell ref="C153:C154"/>
    <mergeCell ref="B108:C108"/>
    <mergeCell ref="C116:C117"/>
    <mergeCell ref="B159:B164"/>
    <mergeCell ref="C167:C168"/>
    <mergeCell ref="C245:C246"/>
    <mergeCell ref="C159:C160"/>
    <mergeCell ref="C239:C240"/>
    <mergeCell ref="J93:J94"/>
    <mergeCell ref="P93:P94"/>
    <mergeCell ref="AB93:AB94"/>
    <mergeCell ref="AH93:AH94"/>
    <mergeCell ref="J96:J97"/>
    <mergeCell ref="P96:P97"/>
    <mergeCell ref="AB96:AB97"/>
    <mergeCell ref="L96:L97"/>
    <mergeCell ref="M96:M97"/>
    <mergeCell ref="B69:C70"/>
    <mergeCell ref="C146:C147"/>
    <mergeCell ref="C148:C149"/>
    <mergeCell ref="C141:C142"/>
    <mergeCell ref="A125:A151"/>
    <mergeCell ref="B112:B117"/>
    <mergeCell ref="B89:B94"/>
    <mergeCell ref="C89:C90"/>
    <mergeCell ref="C91:C92"/>
    <mergeCell ref="A59:A72"/>
    <mergeCell ref="B71:C72"/>
    <mergeCell ref="A82:A107"/>
    <mergeCell ref="B143:B145"/>
    <mergeCell ref="C139:C140"/>
    <mergeCell ref="B146:B151"/>
    <mergeCell ref="C118:C119"/>
    <mergeCell ref="B63:C64"/>
    <mergeCell ref="B65:C66"/>
    <mergeCell ref="B96:B101"/>
    <mergeCell ref="C114:C115"/>
    <mergeCell ref="B109:C109"/>
    <mergeCell ref="B137:B142"/>
    <mergeCell ref="C46:C47"/>
    <mergeCell ref="B27:B32"/>
    <mergeCell ref="C44:C45"/>
    <mergeCell ref="B46:B51"/>
    <mergeCell ref="C48:C49"/>
    <mergeCell ref="A109:A123"/>
    <mergeCell ref="C83:C84"/>
    <mergeCell ref="B77:C77"/>
    <mergeCell ref="B67:C68"/>
    <mergeCell ref="C50:C51"/>
    <mergeCell ref="B33:B38"/>
    <mergeCell ref="A4:C4"/>
    <mergeCell ref="C37:C38"/>
    <mergeCell ref="B10:B12"/>
    <mergeCell ref="C10:C12"/>
    <mergeCell ref="C40:C41"/>
    <mergeCell ref="C33:C34"/>
    <mergeCell ref="C35:C36"/>
    <mergeCell ref="B40:B45"/>
    <mergeCell ref="B21:B26"/>
    <mergeCell ref="C31:C32"/>
    <mergeCell ref="A40:A57"/>
    <mergeCell ref="C42:C43"/>
    <mergeCell ref="B52:B57"/>
    <mergeCell ref="C52:C53"/>
    <mergeCell ref="C54:C55"/>
    <mergeCell ref="A15:A38"/>
    <mergeCell ref="C56:C57"/>
    <mergeCell ref="C21:C22"/>
    <mergeCell ref="C15:C16"/>
    <mergeCell ref="C17:C18"/>
    <mergeCell ref="C19:C20"/>
    <mergeCell ref="C27:C28"/>
    <mergeCell ref="C29:C30"/>
    <mergeCell ref="C23:C24"/>
    <mergeCell ref="C25:C26"/>
    <mergeCell ref="A74:A79"/>
    <mergeCell ref="B74:C75"/>
    <mergeCell ref="B76:C76"/>
    <mergeCell ref="C85:C86"/>
    <mergeCell ref="C98:C99"/>
    <mergeCell ref="C157:C158"/>
    <mergeCell ref="B102:B107"/>
    <mergeCell ref="C102:C103"/>
    <mergeCell ref="C104:C105"/>
    <mergeCell ref="C106:C107"/>
    <mergeCell ref="A222:A223"/>
    <mergeCell ref="A153:A188"/>
    <mergeCell ref="B177:B182"/>
    <mergeCell ref="B153:B158"/>
    <mergeCell ref="A190:A193"/>
    <mergeCell ref="B192:C193"/>
    <mergeCell ref="C181:C182"/>
    <mergeCell ref="C202:C203"/>
    <mergeCell ref="C169:C170"/>
    <mergeCell ref="C183:C184"/>
    <mergeCell ref="C155:C156"/>
    <mergeCell ref="C177:C178"/>
    <mergeCell ref="C187:C188"/>
    <mergeCell ref="B183:B188"/>
    <mergeCell ref="C165:C166"/>
    <mergeCell ref="C173:C174"/>
    <mergeCell ref="C161:C162"/>
    <mergeCell ref="C175:C176"/>
    <mergeCell ref="M222:N222"/>
    <mergeCell ref="C163:C164"/>
    <mergeCell ref="B210:C211"/>
    <mergeCell ref="B208:C209"/>
    <mergeCell ref="C204:C205"/>
    <mergeCell ref="C171:C172"/>
    <mergeCell ref="B217:C218"/>
    <mergeCell ref="C206:C207"/>
    <mergeCell ref="B196:C197"/>
    <mergeCell ref="B222:B223"/>
    <mergeCell ref="J167:J168"/>
    <mergeCell ref="P167:P168"/>
    <mergeCell ref="AB167:AB168"/>
    <mergeCell ref="AH167:AH168"/>
    <mergeCell ref="J169:J170"/>
    <mergeCell ref="P169:P170"/>
    <mergeCell ref="AB169:AB170"/>
    <mergeCell ref="AH169:AH170"/>
    <mergeCell ref="K169:K170"/>
    <mergeCell ref="L169:L170"/>
    <mergeCell ref="J171:J172"/>
    <mergeCell ref="C251:C252"/>
    <mergeCell ref="B118:B123"/>
    <mergeCell ref="B110:C111"/>
    <mergeCell ref="C127:C128"/>
    <mergeCell ref="B125:B130"/>
    <mergeCell ref="C122:C123"/>
    <mergeCell ref="C112:C113"/>
    <mergeCell ref="B215:C216"/>
    <mergeCell ref="B243:B248"/>
    <mergeCell ref="C129:C130"/>
    <mergeCell ref="C247:C248"/>
    <mergeCell ref="B228:C229"/>
    <mergeCell ref="B226:C227"/>
    <mergeCell ref="C222:C223"/>
    <mergeCell ref="A237:A254"/>
    <mergeCell ref="B237:B242"/>
    <mergeCell ref="C241:C242"/>
    <mergeCell ref="C243:C244"/>
    <mergeCell ref="C253:C254"/>
    <mergeCell ref="B249:B254"/>
    <mergeCell ref="C131:C132"/>
    <mergeCell ref="A213:A218"/>
    <mergeCell ref="A196:A211"/>
    <mergeCell ref="C179:C180"/>
    <mergeCell ref="C185:C186"/>
    <mergeCell ref="B200:C201"/>
    <mergeCell ref="B202:B207"/>
    <mergeCell ref="B198:C199"/>
    <mergeCell ref="B190:C191"/>
    <mergeCell ref="B234:C235"/>
    <mergeCell ref="B236:AH236"/>
    <mergeCell ref="G222:H222"/>
    <mergeCell ref="P17:P18"/>
    <mergeCell ref="D19:D20"/>
    <mergeCell ref="I19:I20"/>
    <mergeCell ref="J19:J20"/>
    <mergeCell ref="A226:A235"/>
    <mergeCell ref="B232:C233"/>
    <mergeCell ref="C96:C97"/>
    <mergeCell ref="B95:C95"/>
    <mergeCell ref="B83:B88"/>
    <mergeCell ref="B61:C62"/>
    <mergeCell ref="B59:C60"/>
    <mergeCell ref="C100:C101"/>
    <mergeCell ref="Y5:Y6"/>
    <mergeCell ref="E10:I10"/>
    <mergeCell ref="K10:P10"/>
    <mergeCell ref="W10:AA10"/>
    <mergeCell ref="D15:D16"/>
    <mergeCell ref="C87:C88"/>
    <mergeCell ref="B15:B20"/>
    <mergeCell ref="R15:R16"/>
    <mergeCell ref="S15:S16"/>
    <mergeCell ref="T15:T16"/>
    <mergeCell ref="C133:C134"/>
    <mergeCell ref="D29:D30"/>
    <mergeCell ref="I29:I30"/>
    <mergeCell ref="J29:J30"/>
    <mergeCell ref="O29:O30"/>
    <mergeCell ref="P29:P30"/>
    <mergeCell ref="I35:I36"/>
    <mergeCell ref="J35:J36"/>
    <mergeCell ref="O35:O36"/>
    <mergeCell ref="P35:P36"/>
    <mergeCell ref="AC10:AG10"/>
    <mergeCell ref="E11:J11"/>
    <mergeCell ref="K11:O11"/>
    <mergeCell ref="W11:AA11"/>
    <mergeCell ref="AC11:AG11"/>
    <mergeCell ref="B78:C79"/>
    <mergeCell ref="AH15:AH16"/>
    <mergeCell ref="D17:D18"/>
    <mergeCell ref="I17:I18"/>
    <mergeCell ref="J17:J18"/>
    <mergeCell ref="O17:O18"/>
    <mergeCell ref="E15:E16"/>
    <mergeCell ref="F15:F16"/>
    <mergeCell ref="G15:G16"/>
    <mergeCell ref="AB17:AB18"/>
    <mergeCell ref="AH17:AH18"/>
    <mergeCell ref="D21:D22"/>
    <mergeCell ref="I21:I22"/>
    <mergeCell ref="J21:J22"/>
    <mergeCell ref="O21:O22"/>
    <mergeCell ref="P21:P22"/>
    <mergeCell ref="AB21:AB22"/>
    <mergeCell ref="L21:L22"/>
    <mergeCell ref="M21:M22"/>
    <mergeCell ref="N21:N22"/>
    <mergeCell ref="Q21:Q22"/>
    <mergeCell ref="I23:I24"/>
    <mergeCell ref="J23:J24"/>
    <mergeCell ref="O23:O24"/>
    <mergeCell ref="P23:P24"/>
    <mergeCell ref="AB19:AB20"/>
    <mergeCell ref="AH19:AH20"/>
    <mergeCell ref="AH21:AH22"/>
    <mergeCell ref="AB23:AB24"/>
    <mergeCell ref="AH23:AH24"/>
    <mergeCell ref="M19:M20"/>
    <mergeCell ref="D25:D26"/>
    <mergeCell ref="I25:I26"/>
    <mergeCell ref="J25:J26"/>
    <mergeCell ref="O25:O26"/>
    <mergeCell ref="P25:P26"/>
    <mergeCell ref="AB25:AB26"/>
    <mergeCell ref="L25:L26"/>
    <mergeCell ref="M25:M26"/>
    <mergeCell ref="N25:N26"/>
    <mergeCell ref="Q25:Q26"/>
    <mergeCell ref="AH25:AH26"/>
    <mergeCell ref="D23:D24"/>
    <mergeCell ref="AH27:AH28"/>
    <mergeCell ref="AA19:AA20"/>
    <mergeCell ref="AC19:AC20"/>
    <mergeCell ref="AD19:AD20"/>
    <mergeCell ref="AE19:AE20"/>
    <mergeCell ref="AF19:AF20"/>
    <mergeCell ref="AG19:AG20"/>
    <mergeCell ref="E21:E22"/>
    <mergeCell ref="F21:F22"/>
    <mergeCell ref="G21:G22"/>
    <mergeCell ref="H21:H22"/>
    <mergeCell ref="K21:K22"/>
    <mergeCell ref="R21:R22"/>
    <mergeCell ref="S21:S22"/>
    <mergeCell ref="T21:T22"/>
    <mergeCell ref="U21:U22"/>
    <mergeCell ref="AB29:AB30"/>
    <mergeCell ref="AH29:AH30"/>
    <mergeCell ref="D31:D32"/>
    <mergeCell ref="I31:I32"/>
    <mergeCell ref="J31:J32"/>
    <mergeCell ref="O31:O32"/>
    <mergeCell ref="N27:N28"/>
    <mergeCell ref="M29:M30"/>
    <mergeCell ref="N29:N30"/>
    <mergeCell ref="J27:J28"/>
    <mergeCell ref="O27:O28"/>
    <mergeCell ref="P27:P28"/>
    <mergeCell ref="D33:D34"/>
    <mergeCell ref="I33:I34"/>
    <mergeCell ref="J33:J34"/>
    <mergeCell ref="O33:O34"/>
    <mergeCell ref="P33:P34"/>
    <mergeCell ref="D27:D28"/>
    <mergeCell ref="I27:I28"/>
    <mergeCell ref="AB31:AB32"/>
    <mergeCell ref="M31:M32"/>
    <mergeCell ref="N31:N32"/>
    <mergeCell ref="Q31:Q32"/>
    <mergeCell ref="R31:R32"/>
    <mergeCell ref="P31:P32"/>
    <mergeCell ref="AH31:AH32"/>
    <mergeCell ref="AH33:AH34"/>
    <mergeCell ref="E27:E28"/>
    <mergeCell ref="F27:F28"/>
    <mergeCell ref="G27:G28"/>
    <mergeCell ref="H27:H28"/>
    <mergeCell ref="K27:K28"/>
    <mergeCell ref="AH35:AH36"/>
    <mergeCell ref="AB40:AB41"/>
    <mergeCell ref="AH40:AH41"/>
    <mergeCell ref="AF31:AF32"/>
    <mergeCell ref="AG31:AG32"/>
    <mergeCell ref="AF35:AF36"/>
    <mergeCell ref="AG35:AG36"/>
    <mergeCell ref="D37:D38"/>
    <mergeCell ref="J37:J38"/>
    <mergeCell ref="O37:O38"/>
    <mergeCell ref="P37:P38"/>
    <mergeCell ref="AB37:AB38"/>
    <mergeCell ref="D35:D36"/>
    <mergeCell ref="E35:E36"/>
    <mergeCell ref="F35:F36"/>
    <mergeCell ref="G35:G36"/>
    <mergeCell ref="H35:H36"/>
    <mergeCell ref="E31:E32"/>
    <mergeCell ref="F31:F32"/>
    <mergeCell ref="G31:G32"/>
    <mergeCell ref="H31:H32"/>
    <mergeCell ref="K31:K32"/>
    <mergeCell ref="L31:L32"/>
    <mergeCell ref="S31:S32"/>
    <mergeCell ref="T31:T32"/>
    <mergeCell ref="U31:U32"/>
    <mergeCell ref="V31:V32"/>
    <mergeCell ref="W31:W32"/>
    <mergeCell ref="X31:X32"/>
    <mergeCell ref="Y31:Y32"/>
    <mergeCell ref="Z31:Z32"/>
    <mergeCell ref="P42:P43"/>
    <mergeCell ref="AB42:AB43"/>
    <mergeCell ref="AH37:AH38"/>
    <mergeCell ref="D40:D41"/>
    <mergeCell ref="I40:I41"/>
    <mergeCell ref="J40:J41"/>
    <mergeCell ref="P40:P41"/>
    <mergeCell ref="AH42:AH43"/>
    <mergeCell ref="D42:D43"/>
    <mergeCell ref="I42:I43"/>
    <mergeCell ref="D44:D45"/>
    <mergeCell ref="I44:I45"/>
    <mergeCell ref="J44:J45"/>
    <mergeCell ref="P44:P45"/>
    <mergeCell ref="AB44:AB45"/>
    <mergeCell ref="AH44:AH45"/>
    <mergeCell ref="H44:H45"/>
    <mergeCell ref="N44:N45"/>
    <mergeCell ref="Q44:Q45"/>
    <mergeCell ref="R44:R45"/>
    <mergeCell ref="J42:J43"/>
    <mergeCell ref="E37:E38"/>
    <mergeCell ref="F37:F38"/>
    <mergeCell ref="G37:G38"/>
    <mergeCell ref="H37:H38"/>
    <mergeCell ref="I37:I38"/>
    <mergeCell ref="K37:K38"/>
    <mergeCell ref="L37:L38"/>
    <mergeCell ref="M37:M38"/>
    <mergeCell ref="N37:N38"/>
    <mergeCell ref="Q37:Q38"/>
    <mergeCell ref="R37:R38"/>
    <mergeCell ref="AH48:AH49"/>
    <mergeCell ref="D46:D47"/>
    <mergeCell ref="I46:I47"/>
    <mergeCell ref="J46:J47"/>
    <mergeCell ref="P46:P47"/>
    <mergeCell ref="AB46:AB47"/>
    <mergeCell ref="E44:E45"/>
    <mergeCell ref="F44:F45"/>
    <mergeCell ref="G44:G45"/>
    <mergeCell ref="I50:I51"/>
    <mergeCell ref="J50:J51"/>
    <mergeCell ref="P50:P51"/>
    <mergeCell ref="AB50:AB51"/>
    <mergeCell ref="AH46:AH47"/>
    <mergeCell ref="D48:D49"/>
    <mergeCell ref="I48:I49"/>
    <mergeCell ref="J48:J49"/>
    <mergeCell ref="P48:P49"/>
    <mergeCell ref="AB48:AB49"/>
    <mergeCell ref="P54:P55"/>
    <mergeCell ref="AB54:AB55"/>
    <mergeCell ref="AH50:AH51"/>
    <mergeCell ref="D52:D53"/>
    <mergeCell ref="I52:I53"/>
    <mergeCell ref="J52:J53"/>
    <mergeCell ref="P52:P53"/>
    <mergeCell ref="AB52:AB53"/>
    <mergeCell ref="AH52:AH53"/>
    <mergeCell ref="D50:D51"/>
    <mergeCell ref="AH54:AH55"/>
    <mergeCell ref="D56:D57"/>
    <mergeCell ref="I56:I57"/>
    <mergeCell ref="J56:J57"/>
    <mergeCell ref="P56:P57"/>
    <mergeCell ref="AB56:AB57"/>
    <mergeCell ref="AH56:AH57"/>
    <mergeCell ref="D54:D55"/>
    <mergeCell ref="I54:I55"/>
    <mergeCell ref="J54:J55"/>
    <mergeCell ref="E52:E53"/>
    <mergeCell ref="F52:F53"/>
    <mergeCell ref="G52:G53"/>
    <mergeCell ref="H52:H53"/>
    <mergeCell ref="E54:E55"/>
    <mergeCell ref="F54:F55"/>
    <mergeCell ref="G54:G55"/>
    <mergeCell ref="H54:H55"/>
    <mergeCell ref="E56:E57"/>
    <mergeCell ref="F56:F57"/>
    <mergeCell ref="G56:G57"/>
    <mergeCell ref="H56:H57"/>
    <mergeCell ref="AB61:AB62"/>
    <mergeCell ref="AH61:AH62"/>
    <mergeCell ref="D59:D60"/>
    <mergeCell ref="I59:I60"/>
    <mergeCell ref="J59:J60"/>
    <mergeCell ref="P59:P60"/>
    <mergeCell ref="AB59:AB60"/>
    <mergeCell ref="E61:E62"/>
    <mergeCell ref="F61:F62"/>
    <mergeCell ref="G61:G62"/>
    <mergeCell ref="D63:D64"/>
    <mergeCell ref="J63:J64"/>
    <mergeCell ref="P63:P64"/>
    <mergeCell ref="AB63:AB64"/>
    <mergeCell ref="AH63:AH64"/>
    <mergeCell ref="AH59:AH60"/>
    <mergeCell ref="D61:D62"/>
    <mergeCell ref="I61:I62"/>
    <mergeCell ref="J61:J62"/>
    <mergeCell ref="P61:P62"/>
    <mergeCell ref="E63:E64"/>
    <mergeCell ref="F63:F64"/>
    <mergeCell ref="G63:G64"/>
    <mergeCell ref="H63:H64"/>
    <mergeCell ref="N63:N64"/>
    <mergeCell ref="X63:X64"/>
    <mergeCell ref="AF63:AF64"/>
    <mergeCell ref="D67:D68"/>
    <mergeCell ref="J67:J68"/>
    <mergeCell ref="P67:P68"/>
    <mergeCell ref="AB67:AB68"/>
    <mergeCell ref="AH67:AH68"/>
    <mergeCell ref="D65:D66"/>
    <mergeCell ref="J65:J66"/>
    <mergeCell ref="P65:P66"/>
    <mergeCell ref="AB65:AB66"/>
    <mergeCell ref="AH65:AH66"/>
    <mergeCell ref="AH71:AH72"/>
    <mergeCell ref="D69:D70"/>
    <mergeCell ref="J69:J70"/>
    <mergeCell ref="P69:P70"/>
    <mergeCell ref="AB69:AB70"/>
    <mergeCell ref="AH69:AH70"/>
    <mergeCell ref="E71:E72"/>
    <mergeCell ref="F71:F72"/>
    <mergeCell ref="G71:G72"/>
    <mergeCell ref="H71:H72"/>
    <mergeCell ref="E65:E66"/>
    <mergeCell ref="F65:F66"/>
    <mergeCell ref="G65:G66"/>
    <mergeCell ref="H65:H66"/>
    <mergeCell ref="E67:E68"/>
    <mergeCell ref="F67:F68"/>
    <mergeCell ref="G67:G68"/>
    <mergeCell ref="H67:H68"/>
    <mergeCell ref="E69:E70"/>
    <mergeCell ref="F69:F70"/>
    <mergeCell ref="G69:G70"/>
    <mergeCell ref="H69:H70"/>
    <mergeCell ref="D74:D75"/>
    <mergeCell ref="J74:J75"/>
    <mergeCell ref="P74:P75"/>
    <mergeCell ref="AB74:AB75"/>
    <mergeCell ref="AH74:AH75"/>
    <mergeCell ref="A8:R8"/>
    <mergeCell ref="D71:D72"/>
    <mergeCell ref="J71:J72"/>
    <mergeCell ref="P71:P72"/>
    <mergeCell ref="AB71:AB72"/>
    <mergeCell ref="J78:J79"/>
    <mergeCell ref="P78:P79"/>
    <mergeCell ref="AB78:AB79"/>
    <mergeCell ref="AH78:AH79"/>
    <mergeCell ref="J83:J84"/>
    <mergeCell ref="P83:P84"/>
    <mergeCell ref="AB83:AB84"/>
    <mergeCell ref="AH83:AH84"/>
    <mergeCell ref="K83:K84"/>
    <mergeCell ref="L83:L84"/>
    <mergeCell ref="AB15:AB16"/>
    <mergeCell ref="E17:E18"/>
    <mergeCell ref="F17:F18"/>
    <mergeCell ref="G17:G18"/>
    <mergeCell ref="H17:H18"/>
    <mergeCell ref="K17:K18"/>
    <mergeCell ref="L17:L18"/>
    <mergeCell ref="M17:M18"/>
    <mergeCell ref="N17:N18"/>
    <mergeCell ref="Q17:Q18"/>
    <mergeCell ref="R17:R18"/>
    <mergeCell ref="S17:S18"/>
    <mergeCell ref="J85:J86"/>
    <mergeCell ref="P85:P86"/>
    <mergeCell ref="AB85:AB86"/>
    <mergeCell ref="AH85:AH86"/>
    <mergeCell ref="J87:J88"/>
    <mergeCell ref="P87:P88"/>
    <mergeCell ref="AB87:AB88"/>
    <mergeCell ref="AH87:AH88"/>
    <mergeCell ref="K87:K88"/>
    <mergeCell ref="L87:L88"/>
    <mergeCell ref="J89:J90"/>
    <mergeCell ref="P89:P90"/>
    <mergeCell ref="AB89:AB90"/>
    <mergeCell ref="AH89:AH90"/>
    <mergeCell ref="J91:J92"/>
    <mergeCell ref="P91:P92"/>
    <mergeCell ref="AB91:AB92"/>
    <mergeCell ref="AH91:AH92"/>
    <mergeCell ref="K91:K92"/>
    <mergeCell ref="L91:L92"/>
    <mergeCell ref="AF87:AF88"/>
    <mergeCell ref="AC89:AC90"/>
    <mergeCell ref="AD89:AD90"/>
    <mergeCell ref="AE89:AE90"/>
    <mergeCell ref="AF89:AF90"/>
    <mergeCell ref="AC91:AC92"/>
    <mergeCell ref="AD91:AD92"/>
    <mergeCell ref="AE91:AE92"/>
    <mergeCell ref="AF91:AF92"/>
    <mergeCell ref="N96:N97"/>
    <mergeCell ref="J100:J101"/>
    <mergeCell ref="P100:P101"/>
    <mergeCell ref="AB100:AB101"/>
    <mergeCell ref="AH100:AH101"/>
    <mergeCell ref="AH96:AH97"/>
    <mergeCell ref="J98:J99"/>
    <mergeCell ref="P98:P99"/>
    <mergeCell ref="AB98:AB99"/>
    <mergeCell ref="AH98:AH99"/>
    <mergeCell ref="K96:K97"/>
    <mergeCell ref="J102:J103"/>
    <mergeCell ref="P102:P103"/>
    <mergeCell ref="AB102:AB103"/>
    <mergeCell ref="AH102:AH103"/>
    <mergeCell ref="J104:J105"/>
    <mergeCell ref="P104:P105"/>
    <mergeCell ref="AB104:AB105"/>
    <mergeCell ref="AH104:AH105"/>
    <mergeCell ref="K102:K103"/>
    <mergeCell ref="L102:L103"/>
    <mergeCell ref="V96:V97"/>
    <mergeCell ref="V98:V99"/>
    <mergeCell ref="V100:V101"/>
    <mergeCell ref="V102:V103"/>
    <mergeCell ref="V104:V105"/>
    <mergeCell ref="Q96:Q97"/>
    <mergeCell ref="R96:R97"/>
    <mergeCell ref="S96:S97"/>
    <mergeCell ref="T96:T97"/>
    <mergeCell ref="Q98:Q99"/>
    <mergeCell ref="R98:R99"/>
    <mergeCell ref="P106:P107"/>
    <mergeCell ref="AB106:AB107"/>
    <mergeCell ref="AH106:AH107"/>
    <mergeCell ref="J110:J111"/>
    <mergeCell ref="P110:P111"/>
    <mergeCell ref="AB110:AB111"/>
    <mergeCell ref="AH110:AH111"/>
    <mergeCell ref="K106:K107"/>
    <mergeCell ref="AB118:AB119"/>
    <mergeCell ref="AH118:AH119"/>
    <mergeCell ref="J112:J113"/>
    <mergeCell ref="P112:P113"/>
    <mergeCell ref="AB112:AB113"/>
    <mergeCell ref="AH112:AH113"/>
    <mergeCell ref="J114:J115"/>
    <mergeCell ref="P114:P115"/>
    <mergeCell ref="AB114:AB115"/>
    <mergeCell ref="AH114:AH115"/>
    <mergeCell ref="V106:V107"/>
    <mergeCell ref="AC106:AC107"/>
    <mergeCell ref="AD106:AD107"/>
    <mergeCell ref="AE106:AE107"/>
    <mergeCell ref="AF106:AF107"/>
    <mergeCell ref="K114:K115"/>
    <mergeCell ref="L110:L111"/>
    <mergeCell ref="L112:L113"/>
    <mergeCell ref="L114:L115"/>
    <mergeCell ref="K110:K111"/>
    <mergeCell ref="K112:K113"/>
    <mergeCell ref="M110:M111"/>
    <mergeCell ref="M112:M113"/>
    <mergeCell ref="AH120:AH121"/>
    <mergeCell ref="J122:J123"/>
    <mergeCell ref="P122:P123"/>
    <mergeCell ref="AB122:AB123"/>
    <mergeCell ref="AH122:AH123"/>
    <mergeCell ref="J116:J117"/>
    <mergeCell ref="P116:P117"/>
    <mergeCell ref="AB116:AB117"/>
    <mergeCell ref="AH116:AH117"/>
    <mergeCell ref="J118:J119"/>
    <mergeCell ref="J127:J128"/>
    <mergeCell ref="P127:P128"/>
    <mergeCell ref="AB127:AB128"/>
    <mergeCell ref="AH127:AH128"/>
    <mergeCell ref="J129:J130"/>
    <mergeCell ref="P129:P130"/>
    <mergeCell ref="AB129:AB130"/>
    <mergeCell ref="AH129:AH130"/>
    <mergeCell ref="M127:M128"/>
    <mergeCell ref="N127:N128"/>
    <mergeCell ref="K116:K117"/>
    <mergeCell ref="K118:K119"/>
    <mergeCell ref="K120:K121"/>
    <mergeCell ref="K122:K123"/>
    <mergeCell ref="L116:L117"/>
    <mergeCell ref="L118:L119"/>
    <mergeCell ref="L120:L121"/>
    <mergeCell ref="L122:L123"/>
    <mergeCell ref="Q116:Q117"/>
    <mergeCell ref="R116:R117"/>
    <mergeCell ref="S116:S117"/>
    <mergeCell ref="T116:T117"/>
    <mergeCell ref="J131:J132"/>
    <mergeCell ref="P131:P132"/>
    <mergeCell ref="AB131:AB132"/>
    <mergeCell ref="AH131:AH132"/>
    <mergeCell ref="J133:J134"/>
    <mergeCell ref="P133:P134"/>
    <mergeCell ref="AB133:AB134"/>
    <mergeCell ref="AH133:AH134"/>
    <mergeCell ref="K133:K134"/>
    <mergeCell ref="L133:L134"/>
    <mergeCell ref="J135:J136"/>
    <mergeCell ref="P135:P136"/>
    <mergeCell ref="AB135:AB136"/>
    <mergeCell ref="AH135:AH136"/>
    <mergeCell ref="J137:J138"/>
    <mergeCell ref="P137:P138"/>
    <mergeCell ref="AB137:AB138"/>
    <mergeCell ref="AH137:AH138"/>
    <mergeCell ref="K137:K138"/>
    <mergeCell ref="L137:L138"/>
    <mergeCell ref="Q137:Q138"/>
    <mergeCell ref="R137:R138"/>
    <mergeCell ref="S137:S138"/>
    <mergeCell ref="T137:T138"/>
    <mergeCell ref="Y137:Y138"/>
    <mergeCell ref="Z137:Z138"/>
    <mergeCell ref="J139:J140"/>
    <mergeCell ref="P139:P140"/>
    <mergeCell ref="AB139:AB140"/>
    <mergeCell ref="AH139:AH140"/>
    <mergeCell ref="J141:J142"/>
    <mergeCell ref="P141:P142"/>
    <mergeCell ref="AB141:AB142"/>
    <mergeCell ref="AH141:AH142"/>
    <mergeCell ref="K141:K142"/>
    <mergeCell ref="L141:L142"/>
    <mergeCell ref="J146:J147"/>
    <mergeCell ref="P146:P147"/>
    <mergeCell ref="AB146:AB147"/>
    <mergeCell ref="AH146:AH147"/>
    <mergeCell ref="J148:J149"/>
    <mergeCell ref="P148:P149"/>
    <mergeCell ref="AB148:AB149"/>
    <mergeCell ref="AH148:AH149"/>
    <mergeCell ref="K148:K149"/>
    <mergeCell ref="L148:L149"/>
    <mergeCell ref="M146:M147"/>
    <mergeCell ref="N146:N147"/>
    <mergeCell ref="M148:M149"/>
    <mergeCell ref="N148:N149"/>
    <mergeCell ref="Q139:Q140"/>
    <mergeCell ref="R139:R140"/>
    <mergeCell ref="S139:S140"/>
    <mergeCell ref="T139:T140"/>
    <mergeCell ref="Q141:Q142"/>
    <mergeCell ref="R141:R142"/>
    <mergeCell ref="S141:S142"/>
    <mergeCell ref="T141:T142"/>
    <mergeCell ref="J150:J151"/>
    <mergeCell ref="P150:P151"/>
    <mergeCell ref="AB150:AB151"/>
    <mergeCell ref="AH150:AH151"/>
    <mergeCell ref="J153:J154"/>
    <mergeCell ref="P153:P154"/>
    <mergeCell ref="AB153:AB154"/>
    <mergeCell ref="AH153:AH154"/>
    <mergeCell ref="Q150:Q151"/>
    <mergeCell ref="R150:R151"/>
    <mergeCell ref="J155:J156"/>
    <mergeCell ref="P155:P156"/>
    <mergeCell ref="AB155:AB156"/>
    <mergeCell ref="AH155:AH156"/>
    <mergeCell ref="J157:J158"/>
    <mergeCell ref="P157:P158"/>
    <mergeCell ref="AB157:AB158"/>
    <mergeCell ref="AH157:AH158"/>
    <mergeCell ref="K157:K158"/>
    <mergeCell ref="L157:L158"/>
    <mergeCell ref="K150:K151"/>
    <mergeCell ref="L150:L151"/>
    <mergeCell ref="M150:M151"/>
    <mergeCell ref="N150:N151"/>
    <mergeCell ref="L153:L154"/>
    <mergeCell ref="M153:M154"/>
    <mergeCell ref="N153:N154"/>
    <mergeCell ref="L155:L156"/>
    <mergeCell ref="M155:M156"/>
    <mergeCell ref="N155:N156"/>
    <mergeCell ref="M157:M158"/>
    <mergeCell ref="N157:N158"/>
    <mergeCell ref="J159:J160"/>
    <mergeCell ref="P159:P160"/>
    <mergeCell ref="AB159:AB160"/>
    <mergeCell ref="AH159:AH160"/>
    <mergeCell ref="J161:J162"/>
    <mergeCell ref="P161:P162"/>
    <mergeCell ref="AB161:AB162"/>
    <mergeCell ref="AH161:AH162"/>
    <mergeCell ref="K161:K162"/>
    <mergeCell ref="L161:L162"/>
    <mergeCell ref="J163:J164"/>
    <mergeCell ref="P163:P164"/>
    <mergeCell ref="AB163:AB164"/>
    <mergeCell ref="AH163:AH164"/>
    <mergeCell ref="J165:J166"/>
    <mergeCell ref="P165:P166"/>
    <mergeCell ref="AB165:AB166"/>
    <mergeCell ref="AH165:AH166"/>
    <mergeCell ref="K165:K166"/>
    <mergeCell ref="L165:L166"/>
    <mergeCell ref="L159:L160"/>
    <mergeCell ref="M159:M160"/>
    <mergeCell ref="N159:N160"/>
    <mergeCell ref="M161:M162"/>
    <mergeCell ref="N161:N162"/>
    <mergeCell ref="L163:L164"/>
    <mergeCell ref="M163:M164"/>
    <mergeCell ref="N163:N164"/>
    <mergeCell ref="M165:M166"/>
    <mergeCell ref="N165:N166"/>
    <mergeCell ref="AB171:AB172"/>
    <mergeCell ref="AH171:AH172"/>
    <mergeCell ref="J173:J174"/>
    <mergeCell ref="P173:P174"/>
    <mergeCell ref="AB173:AB174"/>
    <mergeCell ref="AH173:AH174"/>
    <mergeCell ref="K173:K174"/>
    <mergeCell ref="L173:L174"/>
    <mergeCell ref="AH181:AH182"/>
    <mergeCell ref="J175:J176"/>
    <mergeCell ref="P175:P176"/>
    <mergeCell ref="AB175:AB176"/>
    <mergeCell ref="AH175:AH176"/>
    <mergeCell ref="J177:J178"/>
    <mergeCell ref="P177:P178"/>
    <mergeCell ref="AB177:AB178"/>
    <mergeCell ref="AH177:AH178"/>
    <mergeCell ref="K177:K178"/>
    <mergeCell ref="W177:W178"/>
    <mergeCell ref="X177:X178"/>
    <mergeCell ref="Y177:Y178"/>
    <mergeCell ref="Z177:Z178"/>
    <mergeCell ref="W179:W180"/>
    <mergeCell ref="X179:X180"/>
    <mergeCell ref="Y179:Y180"/>
    <mergeCell ref="Z179:Z180"/>
    <mergeCell ref="W181:W182"/>
    <mergeCell ref="X181:X182"/>
    <mergeCell ref="Y181:Y182"/>
    <mergeCell ref="Z181:Z182"/>
    <mergeCell ref="AB179:AB180"/>
    <mergeCell ref="AH179:AH180"/>
    <mergeCell ref="J181:J182"/>
    <mergeCell ref="P181:P182"/>
    <mergeCell ref="AB181:AB182"/>
    <mergeCell ref="AH187:AH188"/>
    <mergeCell ref="J190:J191"/>
    <mergeCell ref="P190:P191"/>
    <mergeCell ref="AB190:AB191"/>
    <mergeCell ref="AH190:AH191"/>
    <mergeCell ref="J183:J184"/>
    <mergeCell ref="P183:P184"/>
    <mergeCell ref="AB183:AB184"/>
    <mergeCell ref="AH183:AH184"/>
    <mergeCell ref="J185:J186"/>
    <mergeCell ref="L179:L180"/>
    <mergeCell ref="M179:M180"/>
    <mergeCell ref="N179:N180"/>
    <mergeCell ref="L181:L182"/>
    <mergeCell ref="M181:M182"/>
    <mergeCell ref="N181:N182"/>
    <mergeCell ref="L183:L184"/>
    <mergeCell ref="M183:M184"/>
    <mergeCell ref="N183:N184"/>
    <mergeCell ref="L185:L186"/>
    <mergeCell ref="M185:M186"/>
    <mergeCell ref="N185:N186"/>
    <mergeCell ref="J187:J188"/>
    <mergeCell ref="P187:P188"/>
    <mergeCell ref="AB187:AB188"/>
    <mergeCell ref="E190:E191"/>
    <mergeCell ref="E192:E193"/>
    <mergeCell ref="F190:F191"/>
    <mergeCell ref="AH196:AH197"/>
    <mergeCell ref="J198:J199"/>
    <mergeCell ref="P198:P199"/>
    <mergeCell ref="AB198:AB199"/>
    <mergeCell ref="AH198:AH199"/>
    <mergeCell ref="B14:AH14"/>
    <mergeCell ref="J192:J193"/>
    <mergeCell ref="P192:P193"/>
    <mergeCell ref="AB192:AB193"/>
    <mergeCell ref="AH192:AH193"/>
    <mergeCell ref="D146:D147"/>
    <mergeCell ref="D148:D149"/>
    <mergeCell ref="D150:D151"/>
    <mergeCell ref="D153:D154"/>
    <mergeCell ref="D177:D178"/>
    <mergeCell ref="D155:D156"/>
    <mergeCell ref="D157:D158"/>
    <mergeCell ref="D159:D160"/>
    <mergeCell ref="D161:D162"/>
    <mergeCell ref="D163:D164"/>
    <mergeCell ref="D165:D166"/>
    <mergeCell ref="D181:D182"/>
    <mergeCell ref="P185:P186"/>
    <mergeCell ref="AB185:AB186"/>
    <mergeCell ref="AH185:AH186"/>
    <mergeCell ref="J179:J180"/>
    <mergeCell ref="AH202:AH203"/>
    <mergeCell ref="V200:V201"/>
    <mergeCell ref="D204:D205"/>
    <mergeCell ref="J204:J205"/>
    <mergeCell ref="P204:P205"/>
    <mergeCell ref="AB204:AB205"/>
    <mergeCell ref="AH204:AH205"/>
    <mergeCell ref="J208:J209"/>
    <mergeCell ref="P208:P209"/>
    <mergeCell ref="AB208:AB209"/>
    <mergeCell ref="AH208:AH209"/>
    <mergeCell ref="D206:D207"/>
    <mergeCell ref="J206:J207"/>
    <mergeCell ref="P206:P207"/>
    <mergeCell ref="AB206:AB207"/>
    <mergeCell ref="AH206:AH207"/>
    <mergeCell ref="Y202:Y203"/>
    <mergeCell ref="Y204:Y205"/>
    <mergeCell ref="Y206:Y207"/>
    <mergeCell ref="Y208:Y209"/>
    <mergeCell ref="AF208:AF209"/>
    <mergeCell ref="AH210:AH211"/>
    <mergeCell ref="E206:E207"/>
    <mergeCell ref="A2:U2"/>
    <mergeCell ref="A3:J3"/>
    <mergeCell ref="B73:AH73"/>
    <mergeCell ref="B58:AH58"/>
    <mergeCell ref="B39:AH39"/>
    <mergeCell ref="D215:D216"/>
    <mergeCell ref="J215:J216"/>
    <mergeCell ref="P215:P216"/>
    <mergeCell ref="AB215:AB216"/>
    <mergeCell ref="AH215:AH216"/>
    <mergeCell ref="D213:D214"/>
    <mergeCell ref="J213:J214"/>
    <mergeCell ref="P213:P214"/>
    <mergeCell ref="AB213:AB214"/>
    <mergeCell ref="AH213:AH214"/>
    <mergeCell ref="J120:J121"/>
    <mergeCell ref="P120:P121"/>
    <mergeCell ref="AB120:AB121"/>
    <mergeCell ref="D127:D128"/>
    <mergeCell ref="D129:D130"/>
    <mergeCell ref="D131:D132"/>
    <mergeCell ref="D133:D134"/>
    <mergeCell ref="D135:D136"/>
    <mergeCell ref="D137:D138"/>
    <mergeCell ref="D139:D140"/>
    <mergeCell ref="D141:D142"/>
    <mergeCell ref="J200:J201"/>
    <mergeCell ref="P200:P201"/>
    <mergeCell ref="AB200:AB201"/>
    <mergeCell ref="AH200:AH201"/>
    <mergeCell ref="J217:J218"/>
    <mergeCell ref="P217:P218"/>
    <mergeCell ref="AB217:AB218"/>
    <mergeCell ref="AH217:AH218"/>
    <mergeCell ref="E213:E214"/>
    <mergeCell ref="Y222:Z222"/>
    <mergeCell ref="AE222:AF222"/>
    <mergeCell ref="B230:C231"/>
    <mergeCell ref="J237:J238"/>
    <mergeCell ref="P237:P238"/>
    <mergeCell ref="AB237:AB238"/>
    <mergeCell ref="O237:O238"/>
    <mergeCell ref="Q237:Q238"/>
    <mergeCell ref="R237:R238"/>
    <mergeCell ref="S237:S238"/>
    <mergeCell ref="AH237:AH238"/>
    <mergeCell ref="J239:J240"/>
    <mergeCell ref="P239:P240"/>
    <mergeCell ref="AB239:AB240"/>
    <mergeCell ref="AH239:AH240"/>
    <mergeCell ref="E217:E218"/>
    <mergeCell ref="F217:F218"/>
    <mergeCell ref="G217:G218"/>
    <mergeCell ref="H217:H218"/>
    <mergeCell ref="K217:K218"/>
    <mergeCell ref="L217:L218"/>
    <mergeCell ref="N215:N216"/>
    <mergeCell ref="M217:M218"/>
    <mergeCell ref="N217:N218"/>
    <mergeCell ref="Q213:Q214"/>
    <mergeCell ref="R213:R214"/>
    <mergeCell ref="S213:S214"/>
    <mergeCell ref="P241:P242"/>
    <mergeCell ref="AB241:AB242"/>
    <mergeCell ref="AH241:AH242"/>
    <mergeCell ref="N237:N238"/>
    <mergeCell ref="J243:J244"/>
    <mergeCell ref="P243:P244"/>
    <mergeCell ref="AB243:AB244"/>
    <mergeCell ref="AH243:AH244"/>
    <mergeCell ref="AB251:AB252"/>
    <mergeCell ref="AH251:AH252"/>
    <mergeCell ref="J245:J246"/>
    <mergeCell ref="P245:P246"/>
    <mergeCell ref="AB245:AB246"/>
    <mergeCell ref="AH245:AH246"/>
    <mergeCell ref="J247:J248"/>
    <mergeCell ref="P247:P248"/>
    <mergeCell ref="AB247:AB248"/>
    <mergeCell ref="AH247:AH248"/>
    <mergeCell ref="N239:N240"/>
    <mergeCell ref="O239:O240"/>
    <mergeCell ref="N241:N242"/>
    <mergeCell ref="O241:O242"/>
    <mergeCell ref="N243:N244"/>
    <mergeCell ref="O243:O244"/>
    <mergeCell ref="K245:K246"/>
    <mergeCell ref="L245:L246"/>
    <mergeCell ref="M245:M246"/>
    <mergeCell ref="N245:N246"/>
    <mergeCell ref="O245:O246"/>
    <mergeCell ref="K247:K248"/>
    <mergeCell ref="L247:L248"/>
    <mergeCell ref="P253:P254"/>
    <mergeCell ref="AB253:AB254"/>
    <mergeCell ref="AH253:AH254"/>
    <mergeCell ref="J249:J250"/>
    <mergeCell ref="P249:P250"/>
    <mergeCell ref="AB249:AB250"/>
    <mergeCell ref="AH249:AH250"/>
    <mergeCell ref="J251:J252"/>
    <mergeCell ref="P251:P252"/>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98:D99"/>
    <mergeCell ref="D96:D97"/>
    <mergeCell ref="D114:D115"/>
    <mergeCell ref="D116:D117"/>
    <mergeCell ref="D118:D119"/>
    <mergeCell ref="D120:D121"/>
    <mergeCell ref="D122:D123"/>
    <mergeCell ref="D125:D126"/>
    <mergeCell ref="B124:AH124"/>
    <mergeCell ref="J241:J242"/>
    <mergeCell ref="D183:D184"/>
    <mergeCell ref="D185:D186"/>
    <mergeCell ref="D187:D188"/>
    <mergeCell ref="D190:D191"/>
    <mergeCell ref="D167:D168"/>
    <mergeCell ref="D169:D170"/>
    <mergeCell ref="D171:D172"/>
    <mergeCell ref="D173:D174"/>
    <mergeCell ref="D175:D176"/>
    <mergeCell ref="D247:D248"/>
    <mergeCell ref="D249:D250"/>
    <mergeCell ref="D251:D252"/>
    <mergeCell ref="D253:D254"/>
    <mergeCell ref="D192:D193"/>
    <mergeCell ref="D237:D238"/>
    <mergeCell ref="D239:D240"/>
    <mergeCell ref="D241:D242"/>
    <mergeCell ref="D243:D244"/>
    <mergeCell ref="D245:D246"/>
    <mergeCell ref="D210:D211"/>
    <mergeCell ref="D202:D203"/>
    <mergeCell ref="D196:D197"/>
    <mergeCell ref="A5:B5"/>
    <mergeCell ref="A6:B6"/>
    <mergeCell ref="A7:L7"/>
    <mergeCell ref="D208:D209"/>
    <mergeCell ref="D198:D199"/>
    <mergeCell ref="B194:AH194"/>
    <mergeCell ref="B195:AH195"/>
    <mergeCell ref="B80:AH80"/>
    <mergeCell ref="B81:AH81"/>
    <mergeCell ref="D179:D180"/>
    <mergeCell ref="H15:H16"/>
    <mergeCell ref="K15:K16"/>
    <mergeCell ref="L15:L16"/>
    <mergeCell ref="M15:M16"/>
    <mergeCell ref="N15:N16"/>
    <mergeCell ref="Q15:Q16"/>
    <mergeCell ref="I15:I16"/>
    <mergeCell ref="J15:J16"/>
    <mergeCell ref="O15:O16"/>
    <mergeCell ref="P15:P16"/>
    <mergeCell ref="U15:U16"/>
    <mergeCell ref="V15:V16"/>
    <mergeCell ref="W15:W16"/>
    <mergeCell ref="X15:X16"/>
    <mergeCell ref="Y15:Y16"/>
    <mergeCell ref="Z15:Z16"/>
    <mergeCell ref="AA15:AA16"/>
    <mergeCell ref="AC15:AC16"/>
    <mergeCell ref="AD15:AD16"/>
    <mergeCell ref="AE15:AE16"/>
    <mergeCell ref="AF15:AF16"/>
    <mergeCell ref="AG15:AG16"/>
    <mergeCell ref="T17:T18"/>
    <mergeCell ref="U17:U18"/>
    <mergeCell ref="V17:V18"/>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N19:N20"/>
    <mergeCell ref="Q19:Q20"/>
    <mergeCell ref="R19:R20"/>
    <mergeCell ref="S19:S20"/>
    <mergeCell ref="T19:T20"/>
    <mergeCell ref="U19:U20"/>
    <mergeCell ref="O19:O20"/>
    <mergeCell ref="P19:P20"/>
    <mergeCell ref="V19:V20"/>
    <mergeCell ref="W19:W20"/>
    <mergeCell ref="X19:X20"/>
    <mergeCell ref="Y19:Y20"/>
    <mergeCell ref="Z19:Z20"/>
    <mergeCell ref="V21:V22"/>
    <mergeCell ref="W21:W22"/>
    <mergeCell ref="X21:X22"/>
    <mergeCell ref="Y21:Y22"/>
    <mergeCell ref="Z21:Z22"/>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V23:V24"/>
    <mergeCell ref="W23:W24"/>
    <mergeCell ref="X23:X24"/>
    <mergeCell ref="Y23:Y24"/>
    <mergeCell ref="Z23:Z24"/>
    <mergeCell ref="AA23:AA24"/>
    <mergeCell ref="AC23:AC24"/>
    <mergeCell ref="AD23:AD24"/>
    <mergeCell ref="W27:W28"/>
    <mergeCell ref="X27:X28"/>
    <mergeCell ref="Y27:Y28"/>
    <mergeCell ref="Z27:Z28"/>
    <mergeCell ref="AA27:AA28"/>
    <mergeCell ref="AC27:AC28"/>
    <mergeCell ref="AB27:AB28"/>
    <mergeCell ref="AD27:AD28"/>
    <mergeCell ref="AE27:AE28"/>
    <mergeCell ref="AE23:AE24"/>
    <mergeCell ref="AF23:AF24"/>
    <mergeCell ref="AG23:AG24"/>
    <mergeCell ref="E25:E26"/>
    <mergeCell ref="F25:F26"/>
    <mergeCell ref="G25:G26"/>
    <mergeCell ref="H25:H26"/>
    <mergeCell ref="K25:K26"/>
    <mergeCell ref="R25:R26"/>
    <mergeCell ref="S25:S26"/>
    <mergeCell ref="T25:T26"/>
    <mergeCell ref="U25:U26"/>
    <mergeCell ref="V25:V26"/>
    <mergeCell ref="W25:W26"/>
    <mergeCell ref="X25:X26"/>
    <mergeCell ref="Y25:Y26"/>
    <mergeCell ref="Z25:Z26"/>
    <mergeCell ref="AA25:AA26"/>
    <mergeCell ref="AC25:AC26"/>
    <mergeCell ref="AD25:AD26"/>
    <mergeCell ref="AE25:AE26"/>
    <mergeCell ref="AF25:AF26"/>
    <mergeCell ref="AG25:AG26"/>
    <mergeCell ref="AF27:AF28"/>
    <mergeCell ref="AG27:AG28"/>
    <mergeCell ref="E29:E30"/>
    <mergeCell ref="F29:F30"/>
    <mergeCell ref="G29:G30"/>
    <mergeCell ref="H29:H30"/>
    <mergeCell ref="K29:K30"/>
    <mergeCell ref="L29:L30"/>
    <mergeCell ref="Q29:Q30"/>
    <mergeCell ref="R29:R30"/>
    <mergeCell ref="S29:S30"/>
    <mergeCell ref="T29:T30"/>
    <mergeCell ref="U29:U30"/>
    <mergeCell ref="V29:V30"/>
    <mergeCell ref="W29:W30"/>
    <mergeCell ref="X29:X30"/>
    <mergeCell ref="Y29:Y30"/>
    <mergeCell ref="Z29:Z30"/>
    <mergeCell ref="AA29:AA30"/>
    <mergeCell ref="AC29:AC30"/>
    <mergeCell ref="AD29:AD30"/>
    <mergeCell ref="AE29:AE30"/>
    <mergeCell ref="AF29:AF30"/>
    <mergeCell ref="AG29:AG30"/>
    <mergeCell ref="L27:L28"/>
    <mergeCell ref="M27:M28"/>
    <mergeCell ref="Q27:Q28"/>
    <mergeCell ref="R27:R28"/>
    <mergeCell ref="S27:S28"/>
    <mergeCell ref="T27:T28"/>
    <mergeCell ref="U27:U28"/>
    <mergeCell ref="V27:V28"/>
    <mergeCell ref="AA31:AA32"/>
    <mergeCell ref="AC31:AC32"/>
    <mergeCell ref="AD31:AD32"/>
    <mergeCell ref="AE31:AE32"/>
    <mergeCell ref="E33:E34"/>
    <mergeCell ref="F33:F34"/>
    <mergeCell ref="G33:G34"/>
    <mergeCell ref="H33:H34"/>
    <mergeCell ref="K33:K34"/>
    <mergeCell ref="L33:L34"/>
    <mergeCell ref="M33:M34"/>
    <mergeCell ref="N33:N34"/>
    <mergeCell ref="Q33:Q34"/>
    <mergeCell ref="R33:R34"/>
    <mergeCell ref="S33:S34"/>
    <mergeCell ref="T33:T34"/>
    <mergeCell ref="U33:U34"/>
    <mergeCell ref="V33:V34"/>
    <mergeCell ref="W33:W34"/>
    <mergeCell ref="X33:X34"/>
    <mergeCell ref="Y33:Y34"/>
    <mergeCell ref="Z33:Z34"/>
    <mergeCell ref="AA33:AA34"/>
    <mergeCell ref="AC33:AC34"/>
    <mergeCell ref="AD33:AD34"/>
    <mergeCell ref="AE33:AE34"/>
    <mergeCell ref="AF33:AF34"/>
    <mergeCell ref="AG33:AG34"/>
    <mergeCell ref="AB33:AB34"/>
    <mergeCell ref="K35:K36"/>
    <mergeCell ref="L35:L36"/>
    <mergeCell ref="M35:M36"/>
    <mergeCell ref="N35:N36"/>
    <mergeCell ref="Q35:Q36"/>
    <mergeCell ref="R35:R36"/>
    <mergeCell ref="S35:S36"/>
    <mergeCell ref="T35:T36"/>
    <mergeCell ref="U35:U36"/>
    <mergeCell ref="V35:V36"/>
    <mergeCell ref="W35:W36"/>
    <mergeCell ref="X35:X36"/>
    <mergeCell ref="Y35:Y36"/>
    <mergeCell ref="Z35:Z36"/>
    <mergeCell ref="AA35:AA36"/>
    <mergeCell ref="AC35:AC36"/>
    <mergeCell ref="AD35:AD36"/>
    <mergeCell ref="AE35:AE36"/>
    <mergeCell ref="AB35:AB36"/>
    <mergeCell ref="S37:S38"/>
    <mergeCell ref="T37:T38"/>
    <mergeCell ref="U37:U38"/>
    <mergeCell ref="V37:V38"/>
    <mergeCell ref="W37:W38"/>
    <mergeCell ref="X37:X38"/>
    <mergeCell ref="Y37:Y38"/>
    <mergeCell ref="Z37:Z38"/>
    <mergeCell ref="AA37:AA38"/>
    <mergeCell ref="AC37:AC38"/>
    <mergeCell ref="AD37:AD38"/>
    <mergeCell ref="AE37:AE38"/>
    <mergeCell ref="AF37:AF38"/>
    <mergeCell ref="AG37:AG38"/>
    <mergeCell ref="E40:E41"/>
    <mergeCell ref="F40:F41"/>
    <mergeCell ref="G40:G41"/>
    <mergeCell ref="H40:H41"/>
    <mergeCell ref="Q40:Q41"/>
    <mergeCell ref="R40:R41"/>
    <mergeCell ref="S40:S41"/>
    <mergeCell ref="T40:T41"/>
    <mergeCell ref="Y40:Y41"/>
    <mergeCell ref="Z40:Z41"/>
    <mergeCell ref="M56:M57"/>
    <mergeCell ref="N56:N57"/>
    <mergeCell ref="E42:E43"/>
    <mergeCell ref="F42:F43"/>
    <mergeCell ref="G42:G43"/>
    <mergeCell ref="H42:H43"/>
    <mergeCell ref="K40:K41"/>
    <mergeCell ref="E46:E47"/>
    <mergeCell ref="F46:F47"/>
    <mergeCell ref="G46:G47"/>
    <mergeCell ref="H46:H47"/>
    <mergeCell ref="E48:E49"/>
    <mergeCell ref="F48:F49"/>
    <mergeCell ref="G48:G49"/>
    <mergeCell ref="H48:H49"/>
    <mergeCell ref="E50:E51"/>
    <mergeCell ref="F50:F51"/>
    <mergeCell ref="G50:G51"/>
    <mergeCell ref="H50:H51"/>
    <mergeCell ref="K42:K43"/>
    <mergeCell ref="K44:K45"/>
    <mergeCell ref="K46:K47"/>
    <mergeCell ref="K48:K49"/>
    <mergeCell ref="K50:K51"/>
    <mergeCell ref="T48:T49"/>
    <mergeCell ref="Q50:Q51"/>
    <mergeCell ref="R50:R51"/>
    <mergeCell ref="S50:S51"/>
    <mergeCell ref="T50:T51"/>
    <mergeCell ref="K52:K53"/>
    <mergeCell ref="K54:K55"/>
    <mergeCell ref="K56:K57"/>
    <mergeCell ref="L40:L41"/>
    <mergeCell ref="M40:M41"/>
    <mergeCell ref="N40:N41"/>
    <mergeCell ref="L42:L43"/>
    <mergeCell ref="M42:M43"/>
    <mergeCell ref="N42:N43"/>
    <mergeCell ref="L44:L45"/>
    <mergeCell ref="M44:M45"/>
    <mergeCell ref="L46:L47"/>
    <mergeCell ref="M46:M47"/>
    <mergeCell ref="N46:N47"/>
    <mergeCell ref="L48:L49"/>
    <mergeCell ref="M48:M49"/>
    <mergeCell ref="N48:N49"/>
    <mergeCell ref="L50:L51"/>
    <mergeCell ref="M50:M51"/>
    <mergeCell ref="N50:N51"/>
    <mergeCell ref="L52:L53"/>
    <mergeCell ref="M52:M53"/>
    <mergeCell ref="N52:N53"/>
    <mergeCell ref="L54:L55"/>
    <mergeCell ref="M54:M55"/>
    <mergeCell ref="N54:N55"/>
    <mergeCell ref="L56:L57"/>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W42:W43"/>
    <mergeCell ref="X42:X43"/>
    <mergeCell ref="W54:W55"/>
    <mergeCell ref="X54:X55"/>
    <mergeCell ref="Q42:Q43"/>
    <mergeCell ref="R42:R43"/>
    <mergeCell ref="S42:S43"/>
    <mergeCell ref="T42:T43"/>
    <mergeCell ref="S44:S45"/>
    <mergeCell ref="T44:T45"/>
    <mergeCell ref="Q46:Q47"/>
    <mergeCell ref="R46:R47"/>
    <mergeCell ref="S46:S47"/>
    <mergeCell ref="T46:T47"/>
    <mergeCell ref="Q48:Q49"/>
    <mergeCell ref="R48:R49"/>
    <mergeCell ref="S48:S49"/>
    <mergeCell ref="AC50:AC51"/>
    <mergeCell ref="AD50:AD51"/>
    <mergeCell ref="AE50:AE51"/>
    <mergeCell ref="AF50:AF51"/>
    <mergeCell ref="AC52:AC53"/>
    <mergeCell ref="AD52:AD53"/>
    <mergeCell ref="Y42:Y43"/>
    <mergeCell ref="Z42:Z43"/>
    <mergeCell ref="Y44:Y45"/>
    <mergeCell ref="Z44:Z45"/>
    <mergeCell ref="W46:W47"/>
    <mergeCell ref="X46:X47"/>
    <mergeCell ref="Y46:Y47"/>
    <mergeCell ref="Z46:Z47"/>
    <mergeCell ref="Y48:Y49"/>
    <mergeCell ref="Z48:Z49"/>
    <mergeCell ref="W50:W51"/>
    <mergeCell ref="X50:X51"/>
    <mergeCell ref="Y50:Y51"/>
    <mergeCell ref="Z50:Z51"/>
    <mergeCell ref="W52:W53"/>
    <mergeCell ref="X52:X53"/>
    <mergeCell ref="Y52:Y53"/>
    <mergeCell ref="Z52:Z53"/>
    <mergeCell ref="AC40:AC41"/>
    <mergeCell ref="AD40:AD41"/>
    <mergeCell ref="AC44:AC45"/>
    <mergeCell ref="AD44:AD45"/>
    <mergeCell ref="AC48:AC49"/>
    <mergeCell ref="AD48:AD49"/>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E52:AE53"/>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H61:H62"/>
    <mergeCell ref="N59:N60"/>
    <mergeCell ref="N61:N62"/>
    <mergeCell ref="X59:X60"/>
    <mergeCell ref="X61:X62"/>
    <mergeCell ref="AF59:AF60"/>
    <mergeCell ref="AF61:AF62"/>
    <mergeCell ref="Y54:Y55"/>
    <mergeCell ref="Z54:Z55"/>
    <mergeCell ref="W56:W57"/>
    <mergeCell ref="X56:X57"/>
    <mergeCell ref="Y56:Y57"/>
    <mergeCell ref="Z56:Z57"/>
    <mergeCell ref="Q52:Q53"/>
    <mergeCell ref="R52:R53"/>
    <mergeCell ref="S52:S53"/>
    <mergeCell ref="L71:L72"/>
    <mergeCell ref="K61:K62"/>
    <mergeCell ref="K63:K64"/>
    <mergeCell ref="K65:K66"/>
    <mergeCell ref="K67:K68"/>
    <mergeCell ref="K69:K70"/>
    <mergeCell ref="K71:K72"/>
    <mergeCell ref="M63:M64"/>
    <mergeCell ref="M65:M66"/>
    <mergeCell ref="M67:M68"/>
    <mergeCell ref="M69:M70"/>
    <mergeCell ref="L61:L62"/>
    <mergeCell ref="L63:L64"/>
    <mergeCell ref="L65:L66"/>
    <mergeCell ref="L67:L68"/>
    <mergeCell ref="L69:L70"/>
    <mergeCell ref="M71:M72"/>
    <mergeCell ref="N65:N66"/>
    <mergeCell ref="N67:N68"/>
    <mergeCell ref="N69:N70"/>
    <mergeCell ref="N71:N72"/>
    <mergeCell ref="M59:M60"/>
    <mergeCell ref="M61:M62"/>
    <mergeCell ref="Q63:Q64"/>
    <mergeCell ref="Q65:Q66"/>
    <mergeCell ref="R63:R64"/>
    <mergeCell ref="R65:R66"/>
    <mergeCell ref="S63:S64"/>
    <mergeCell ref="S65:S66"/>
    <mergeCell ref="T63:T64"/>
    <mergeCell ref="T65:T66"/>
    <mergeCell ref="W59:W60"/>
    <mergeCell ref="W61:W62"/>
    <mergeCell ref="W63:W64"/>
    <mergeCell ref="W65:W66"/>
    <mergeCell ref="V65:V66"/>
    <mergeCell ref="V63:V64"/>
    <mergeCell ref="W71:W72"/>
    <mergeCell ref="X65:X66"/>
    <mergeCell ref="X67:X68"/>
    <mergeCell ref="X69:X70"/>
    <mergeCell ref="X71:X72"/>
    <mergeCell ref="Y63:Y64"/>
    <mergeCell ref="Y65:Y66"/>
    <mergeCell ref="Y67:Y68"/>
    <mergeCell ref="Y69:Y70"/>
    <mergeCell ref="W67:W68"/>
    <mergeCell ref="W69:W70"/>
    <mergeCell ref="Y71:Y72"/>
    <mergeCell ref="Z59:Z60"/>
    <mergeCell ref="Z61:Z62"/>
    <mergeCell ref="Z63:Z64"/>
    <mergeCell ref="Z65:Z66"/>
    <mergeCell ref="Z67:Z68"/>
    <mergeCell ref="Z69:Z70"/>
    <mergeCell ref="Z71:Z72"/>
    <mergeCell ref="Y59:Y60"/>
    <mergeCell ref="Y61:Y62"/>
    <mergeCell ref="AD69:AD70"/>
    <mergeCell ref="AD71:AD72"/>
    <mergeCell ref="AC59:AC60"/>
    <mergeCell ref="AC61:AC62"/>
    <mergeCell ref="AC63:AC64"/>
    <mergeCell ref="AC65:AC66"/>
    <mergeCell ref="AC67:AC68"/>
    <mergeCell ref="AC69:AC70"/>
    <mergeCell ref="AE63:AE64"/>
    <mergeCell ref="AE65:AE66"/>
    <mergeCell ref="AE67:AE68"/>
    <mergeCell ref="AE69:AE70"/>
    <mergeCell ref="AC71:AC72"/>
    <mergeCell ref="AD59:AD60"/>
    <mergeCell ref="AD61:AD62"/>
    <mergeCell ref="AD63:AD64"/>
    <mergeCell ref="AD65:AD66"/>
    <mergeCell ref="AD67:AD68"/>
    <mergeCell ref="AE71:AE72"/>
    <mergeCell ref="AF65:AF66"/>
    <mergeCell ref="AF67:AF68"/>
    <mergeCell ref="AF69:AF70"/>
    <mergeCell ref="AF71:AF72"/>
    <mergeCell ref="AE59:AE60"/>
    <mergeCell ref="AE61:AE62"/>
    <mergeCell ref="E74:E75"/>
    <mergeCell ref="F74:F75"/>
    <mergeCell ref="G74:G75"/>
    <mergeCell ref="H74:H75"/>
    <mergeCell ref="E78:E79"/>
    <mergeCell ref="F78:F79"/>
    <mergeCell ref="G78:G79"/>
    <mergeCell ref="H78:H79"/>
    <mergeCell ref="K74:K75"/>
    <mergeCell ref="L74:L75"/>
    <mergeCell ref="M74:M75"/>
    <mergeCell ref="N74:N75"/>
    <mergeCell ref="K78:K79"/>
    <mergeCell ref="L78:L79"/>
    <mergeCell ref="M78:M79"/>
    <mergeCell ref="N78:N79"/>
    <mergeCell ref="W74:W75"/>
    <mergeCell ref="X74:X75"/>
    <mergeCell ref="Y74:Y75"/>
    <mergeCell ref="Z74:Z75"/>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I83:I84"/>
    <mergeCell ref="E85:E86"/>
    <mergeCell ref="F85:F86"/>
    <mergeCell ref="G85:G86"/>
    <mergeCell ref="H85:H86"/>
    <mergeCell ref="I85:I86"/>
    <mergeCell ref="E87:E88"/>
    <mergeCell ref="F87:F88"/>
    <mergeCell ref="G87:G88"/>
    <mergeCell ref="H87:H88"/>
    <mergeCell ref="I87:I88"/>
    <mergeCell ref="AC83:AC84"/>
    <mergeCell ref="AD83:AD84"/>
    <mergeCell ref="AE83:AE84"/>
    <mergeCell ref="AF83:AF84"/>
    <mergeCell ref="AC85:AC86"/>
    <mergeCell ref="AD85:AD86"/>
    <mergeCell ref="AE85:AE86"/>
    <mergeCell ref="AF85:AF86"/>
    <mergeCell ref="AC87:AC88"/>
    <mergeCell ref="AD87:AD88"/>
    <mergeCell ref="AE87:AE88"/>
    <mergeCell ref="E89:E90"/>
    <mergeCell ref="F89:F90"/>
    <mergeCell ref="G89:G90"/>
    <mergeCell ref="H89:H90"/>
    <mergeCell ref="I89:I90"/>
    <mergeCell ref="E91:E92"/>
    <mergeCell ref="F91:F92"/>
    <mergeCell ref="G91:G92"/>
    <mergeCell ref="H91:H92"/>
    <mergeCell ref="I91:I92"/>
    <mergeCell ref="E93:E94"/>
    <mergeCell ref="F93:F94"/>
    <mergeCell ref="G93:G94"/>
    <mergeCell ref="H93:H94"/>
    <mergeCell ref="I93:I94"/>
    <mergeCell ref="M83:M84"/>
    <mergeCell ref="N83:N84"/>
    <mergeCell ref="K85:K86"/>
    <mergeCell ref="L85:L86"/>
    <mergeCell ref="M85:M86"/>
    <mergeCell ref="N85:N86"/>
    <mergeCell ref="M87:M88"/>
    <mergeCell ref="N87:N88"/>
    <mergeCell ref="K89:K90"/>
    <mergeCell ref="L89:L90"/>
    <mergeCell ref="M89:M90"/>
    <mergeCell ref="N89:N90"/>
    <mergeCell ref="M91:M92"/>
    <mergeCell ref="N91:N92"/>
    <mergeCell ref="K93:K94"/>
    <mergeCell ref="L93:L94"/>
    <mergeCell ref="M93:M94"/>
    <mergeCell ref="N93:N94"/>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W93:W94"/>
    <mergeCell ref="X93:X94"/>
    <mergeCell ref="Y93:Y94"/>
    <mergeCell ref="Z93:Z94"/>
    <mergeCell ref="S93:S94"/>
    <mergeCell ref="T93:T94"/>
    <mergeCell ref="AC93:AC94"/>
    <mergeCell ref="AD93:AD94"/>
    <mergeCell ref="AE93:AE94"/>
    <mergeCell ref="AF93:AF94"/>
    <mergeCell ref="V83:V84"/>
    <mergeCell ref="V85:V86"/>
    <mergeCell ref="V87:V88"/>
    <mergeCell ref="V89:V90"/>
    <mergeCell ref="V91:V92"/>
    <mergeCell ref="V93:V94"/>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Q93:Q94"/>
    <mergeCell ref="R93:R94"/>
    <mergeCell ref="E96:E97"/>
    <mergeCell ref="F96:F97"/>
    <mergeCell ref="G96:G97"/>
    <mergeCell ref="H96:H97"/>
    <mergeCell ref="I96:I97"/>
    <mergeCell ref="E98:E99"/>
    <mergeCell ref="F98:F99"/>
    <mergeCell ref="G98:G99"/>
    <mergeCell ref="H98:H99"/>
    <mergeCell ref="I98:I99"/>
    <mergeCell ref="E100:E101"/>
    <mergeCell ref="F100:F101"/>
    <mergeCell ref="G100:G101"/>
    <mergeCell ref="H100:H101"/>
    <mergeCell ref="I100:I101"/>
    <mergeCell ref="E102:E103"/>
    <mergeCell ref="F102:F103"/>
    <mergeCell ref="G102:G103"/>
    <mergeCell ref="H102:H103"/>
    <mergeCell ref="I102:I103"/>
    <mergeCell ref="E104:E105"/>
    <mergeCell ref="F104:F105"/>
    <mergeCell ref="G104:G105"/>
    <mergeCell ref="H104:H105"/>
    <mergeCell ref="I104:I105"/>
    <mergeCell ref="E106:E107"/>
    <mergeCell ref="F106:F107"/>
    <mergeCell ref="G106:G107"/>
    <mergeCell ref="H106:H107"/>
    <mergeCell ref="I106:I107"/>
    <mergeCell ref="K98:K99"/>
    <mergeCell ref="L98:L99"/>
    <mergeCell ref="M98:M99"/>
    <mergeCell ref="N98:N99"/>
    <mergeCell ref="K100:K101"/>
    <mergeCell ref="L100:L101"/>
    <mergeCell ref="M100:M101"/>
    <mergeCell ref="N100:N101"/>
    <mergeCell ref="M102:M103"/>
    <mergeCell ref="N102:N103"/>
    <mergeCell ref="K104:K105"/>
    <mergeCell ref="L104:L105"/>
    <mergeCell ref="M104:M105"/>
    <mergeCell ref="N104:N105"/>
    <mergeCell ref="L106:L107"/>
    <mergeCell ref="M106:M107"/>
    <mergeCell ref="N106:N107"/>
    <mergeCell ref="J106:J107"/>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Q106:Q107"/>
    <mergeCell ref="R106:R107"/>
    <mergeCell ref="S106:S107"/>
    <mergeCell ref="T106:T107"/>
    <mergeCell ref="Y102:Y103"/>
    <mergeCell ref="Z102:Z103"/>
    <mergeCell ref="W96:W97"/>
    <mergeCell ref="X96:X97"/>
    <mergeCell ref="Y96:Y97"/>
    <mergeCell ref="Z96:Z97"/>
    <mergeCell ref="W98:W99"/>
    <mergeCell ref="X98:X99"/>
    <mergeCell ref="Y98:Y99"/>
    <mergeCell ref="Z98:Z99"/>
    <mergeCell ref="W106:W107"/>
    <mergeCell ref="X106:X107"/>
    <mergeCell ref="Y106:Y107"/>
    <mergeCell ref="Z106:Z107"/>
    <mergeCell ref="W100:W101"/>
    <mergeCell ref="X100:X101"/>
    <mergeCell ref="Y100:Y101"/>
    <mergeCell ref="Z100:Z101"/>
    <mergeCell ref="W102:W103"/>
    <mergeCell ref="X102:X103"/>
    <mergeCell ref="W104:W105"/>
    <mergeCell ref="X104:X105"/>
    <mergeCell ref="Y104:Y105"/>
    <mergeCell ref="Z104:Z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E104:AE105"/>
    <mergeCell ref="AF104:AF105"/>
    <mergeCell ref="AC104:AC105"/>
    <mergeCell ref="AD104:AD105"/>
    <mergeCell ref="M116:M117"/>
    <mergeCell ref="M118:M119"/>
    <mergeCell ref="M120:M121"/>
    <mergeCell ref="N110:N111"/>
    <mergeCell ref="N112:N113"/>
    <mergeCell ref="N114:N115"/>
    <mergeCell ref="N116:N117"/>
    <mergeCell ref="N118:N119"/>
    <mergeCell ref="N120:N121"/>
    <mergeCell ref="V114:V115"/>
    <mergeCell ref="V116:V117"/>
    <mergeCell ref="V118:V119"/>
    <mergeCell ref="V120:V121"/>
    <mergeCell ref="V122:V123"/>
    <mergeCell ref="M122:M123"/>
    <mergeCell ref="N122:N123"/>
    <mergeCell ref="P118:P119"/>
    <mergeCell ref="V110:V111"/>
    <mergeCell ref="Q110:Q111"/>
    <mergeCell ref="R110:R111"/>
    <mergeCell ref="S110:S111"/>
    <mergeCell ref="T110:T111"/>
    <mergeCell ref="Q112:Q113"/>
    <mergeCell ref="R112:R113"/>
    <mergeCell ref="S112:S113"/>
    <mergeCell ref="T112:T113"/>
    <mergeCell ref="V112:V113"/>
    <mergeCell ref="Q114:Q115"/>
    <mergeCell ref="R114:R115"/>
    <mergeCell ref="S114:S115"/>
    <mergeCell ref="T114:T115"/>
    <mergeCell ref="AD120:AD121"/>
    <mergeCell ref="AE120:AE121"/>
    <mergeCell ref="AF120:AF121"/>
    <mergeCell ref="AC122:AC123"/>
    <mergeCell ref="AD122:AD123"/>
    <mergeCell ref="AE122:AE123"/>
    <mergeCell ref="AF122:AF123"/>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10:W111"/>
    <mergeCell ref="X110:X111"/>
    <mergeCell ref="W114:W115"/>
    <mergeCell ref="X114:X115"/>
    <mergeCell ref="W118:W119"/>
    <mergeCell ref="X118:X119"/>
    <mergeCell ref="W122:W123"/>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K127:K128"/>
    <mergeCell ref="L127:L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Y122:Y123"/>
    <mergeCell ref="Z122:Z123"/>
    <mergeCell ref="AC110:AC111"/>
    <mergeCell ref="AC120:AC121"/>
    <mergeCell ref="Q118:Q119"/>
    <mergeCell ref="R118:R119"/>
    <mergeCell ref="S118:S119"/>
    <mergeCell ref="T118:T119"/>
    <mergeCell ref="Q120:Q121"/>
    <mergeCell ref="R120:R121"/>
    <mergeCell ref="S120:S121"/>
    <mergeCell ref="T120:T121"/>
    <mergeCell ref="Q122:Q123"/>
    <mergeCell ref="R122:R123"/>
    <mergeCell ref="S122:S123"/>
    <mergeCell ref="T122:T123"/>
    <mergeCell ref="X122:X123"/>
    <mergeCell ref="M114:M115"/>
    <mergeCell ref="E137:E138"/>
    <mergeCell ref="F137:F138"/>
    <mergeCell ref="G137:G138"/>
    <mergeCell ref="H137:H138"/>
    <mergeCell ref="E139:E140"/>
    <mergeCell ref="F139:F140"/>
    <mergeCell ref="G139:G140"/>
    <mergeCell ref="H139:H140"/>
    <mergeCell ref="E141:E142"/>
    <mergeCell ref="F141:F142"/>
    <mergeCell ref="G141:G142"/>
    <mergeCell ref="H141:H142"/>
    <mergeCell ref="E146:E147"/>
    <mergeCell ref="F146:F147"/>
    <mergeCell ref="G146:G147"/>
    <mergeCell ref="H146:H147"/>
    <mergeCell ref="E127:E128"/>
    <mergeCell ref="F127:F128"/>
    <mergeCell ref="G127:G128"/>
    <mergeCell ref="H127:H128"/>
    <mergeCell ref="E150:E151"/>
    <mergeCell ref="F150:F151"/>
    <mergeCell ref="G150:G151"/>
    <mergeCell ref="H150:H151"/>
    <mergeCell ref="K129:K130"/>
    <mergeCell ref="L129:L130"/>
    <mergeCell ref="M129:M130"/>
    <mergeCell ref="N129:N130"/>
    <mergeCell ref="K131:K132"/>
    <mergeCell ref="L131:L132"/>
    <mergeCell ref="M131:M132"/>
    <mergeCell ref="N131:N132"/>
    <mergeCell ref="M133:M134"/>
    <mergeCell ref="N133:N134"/>
    <mergeCell ref="K135:K136"/>
    <mergeCell ref="L135:L136"/>
    <mergeCell ref="M135:M136"/>
    <mergeCell ref="N135:N136"/>
    <mergeCell ref="M137:M138"/>
    <mergeCell ref="N137:N138"/>
    <mergeCell ref="K139:K140"/>
    <mergeCell ref="L139:L140"/>
    <mergeCell ref="M139:M140"/>
    <mergeCell ref="N139:N140"/>
    <mergeCell ref="M141:M142"/>
    <mergeCell ref="N141:N142"/>
    <mergeCell ref="K146:K147"/>
    <mergeCell ref="L146:L147"/>
    <mergeCell ref="E135:E136"/>
    <mergeCell ref="F135:F136"/>
    <mergeCell ref="G135:G136"/>
    <mergeCell ref="H135:H136"/>
    <mergeCell ref="Q127:Q128"/>
    <mergeCell ref="R127:R128"/>
    <mergeCell ref="S127:S128"/>
    <mergeCell ref="T127:T128"/>
    <mergeCell ref="Q129:Q130"/>
    <mergeCell ref="R129:R130"/>
    <mergeCell ref="S129:S130"/>
    <mergeCell ref="T129:T130"/>
    <mergeCell ref="Q131:Q132"/>
    <mergeCell ref="R131:R132"/>
    <mergeCell ref="S131:S132"/>
    <mergeCell ref="T131:T132"/>
    <mergeCell ref="Q133:Q134"/>
    <mergeCell ref="R133:R134"/>
    <mergeCell ref="S133:S134"/>
    <mergeCell ref="T133:T134"/>
    <mergeCell ref="Q135:Q136"/>
    <mergeCell ref="R135:R136"/>
    <mergeCell ref="S135:S136"/>
    <mergeCell ref="T135:T136"/>
    <mergeCell ref="Q146:Q147"/>
    <mergeCell ref="R146:R147"/>
    <mergeCell ref="S146:S147"/>
    <mergeCell ref="T146:T147"/>
    <mergeCell ref="Q148:Q149"/>
    <mergeCell ref="R148:R149"/>
    <mergeCell ref="S148:S149"/>
    <mergeCell ref="T148:T149"/>
    <mergeCell ref="S150:S151"/>
    <mergeCell ref="T150:T151"/>
    <mergeCell ref="W127:W128"/>
    <mergeCell ref="X127:X128"/>
    <mergeCell ref="Y127:Y128"/>
    <mergeCell ref="Z127:Z128"/>
    <mergeCell ref="W129:W130"/>
    <mergeCell ref="X129:X130"/>
    <mergeCell ref="Y129:Y130"/>
    <mergeCell ref="Z129:Z130"/>
    <mergeCell ref="W131:W132"/>
    <mergeCell ref="X131:X132"/>
    <mergeCell ref="Y131:Y132"/>
    <mergeCell ref="Z131:Z132"/>
    <mergeCell ref="W133:W134"/>
    <mergeCell ref="X133:X134"/>
    <mergeCell ref="Y133:Y134"/>
    <mergeCell ref="Z133:Z134"/>
    <mergeCell ref="W135:W136"/>
    <mergeCell ref="X135:X136"/>
    <mergeCell ref="Y135:Y136"/>
    <mergeCell ref="Z135:Z136"/>
    <mergeCell ref="W137:W138"/>
    <mergeCell ref="X137:X138"/>
    <mergeCell ref="W139:W140"/>
    <mergeCell ref="X139:X140"/>
    <mergeCell ref="Y139:Y140"/>
    <mergeCell ref="Z139:Z140"/>
    <mergeCell ref="W141:W142"/>
    <mergeCell ref="X141:X142"/>
    <mergeCell ref="Y141:Y142"/>
    <mergeCell ref="Z141:Z142"/>
    <mergeCell ref="W146:W147"/>
    <mergeCell ref="X146:X147"/>
    <mergeCell ref="Y146:Y147"/>
    <mergeCell ref="Z146:Z147"/>
    <mergeCell ref="W148:W149"/>
    <mergeCell ref="X148:X149"/>
    <mergeCell ref="Y148:Y149"/>
    <mergeCell ref="Z148:Z149"/>
    <mergeCell ref="W150:W151"/>
    <mergeCell ref="X150:X151"/>
    <mergeCell ref="Y150:Y151"/>
    <mergeCell ref="Z150:Z151"/>
    <mergeCell ref="AC148:AC149"/>
    <mergeCell ref="AD148:AD149"/>
    <mergeCell ref="AE148:AE149"/>
    <mergeCell ref="AF148:AF149"/>
    <mergeCell ref="AC139:AC140"/>
    <mergeCell ref="AD139:AD140"/>
    <mergeCell ref="AE139:AE140"/>
    <mergeCell ref="AF139:AF140"/>
    <mergeCell ref="AC141:AC142"/>
    <mergeCell ref="AD141:AD142"/>
    <mergeCell ref="AC127:AC128"/>
    <mergeCell ref="AD127:AD128"/>
    <mergeCell ref="AC131:AC132"/>
    <mergeCell ref="AD131:AD132"/>
    <mergeCell ref="AC135:AC136"/>
    <mergeCell ref="AD135:AD136"/>
    <mergeCell ref="AE127:AE128"/>
    <mergeCell ref="AF127:AF128"/>
    <mergeCell ref="AC129:AC130"/>
    <mergeCell ref="AD129:AD130"/>
    <mergeCell ref="AE129:AE130"/>
    <mergeCell ref="AF129:AF130"/>
    <mergeCell ref="AE131:AE132"/>
    <mergeCell ref="AF131:AF132"/>
    <mergeCell ref="AC133:AC134"/>
    <mergeCell ref="AD133:AD134"/>
    <mergeCell ref="AE133:AE134"/>
    <mergeCell ref="AF133:AF134"/>
    <mergeCell ref="AC150:AC151"/>
    <mergeCell ref="AD150:AD151"/>
    <mergeCell ref="AE150:AE151"/>
    <mergeCell ref="AF150:AF151"/>
    <mergeCell ref="AC146:AC147"/>
    <mergeCell ref="AD146:AD147"/>
    <mergeCell ref="AE146:AE147"/>
    <mergeCell ref="AF146:AF147"/>
    <mergeCell ref="G114:G115"/>
    <mergeCell ref="G116:G117"/>
    <mergeCell ref="G118:G119"/>
    <mergeCell ref="G120:G121"/>
    <mergeCell ref="E122:E123"/>
    <mergeCell ref="F110:F111"/>
    <mergeCell ref="F112:F113"/>
    <mergeCell ref="F114:F115"/>
    <mergeCell ref="F116:F117"/>
    <mergeCell ref="F118:F119"/>
    <mergeCell ref="G122:G123"/>
    <mergeCell ref="H110:H111"/>
    <mergeCell ref="H112:H113"/>
    <mergeCell ref="H114:H115"/>
    <mergeCell ref="H116:H117"/>
    <mergeCell ref="H118:H119"/>
    <mergeCell ref="AE141:AE142"/>
    <mergeCell ref="AF141:AF142"/>
    <mergeCell ref="AE135:AE136"/>
    <mergeCell ref="AF135:AF136"/>
    <mergeCell ref="AC137:AC138"/>
    <mergeCell ref="AD137:AD138"/>
    <mergeCell ref="AE137:AE138"/>
    <mergeCell ref="AF137:AF138"/>
    <mergeCell ref="H120:H121"/>
    <mergeCell ref="H122:H123"/>
    <mergeCell ref="G110:G111"/>
    <mergeCell ref="G112:G113"/>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10:E111"/>
    <mergeCell ref="E112:E113"/>
    <mergeCell ref="E114:E115"/>
    <mergeCell ref="E116:E117"/>
    <mergeCell ref="E118:E119"/>
    <mergeCell ref="E120:E121"/>
    <mergeCell ref="F120:F121"/>
    <mergeCell ref="F122:F123"/>
    <mergeCell ref="E148:E149"/>
    <mergeCell ref="F148:F149"/>
    <mergeCell ref="G148:G149"/>
    <mergeCell ref="H148:H149"/>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87:E188"/>
    <mergeCell ref="F187:F188"/>
    <mergeCell ref="G187:G188"/>
    <mergeCell ref="H187:H188"/>
    <mergeCell ref="K153:K154"/>
    <mergeCell ref="K155:K156"/>
    <mergeCell ref="K159:K160"/>
    <mergeCell ref="K163:K164"/>
    <mergeCell ref="K167:K168"/>
    <mergeCell ref="K179:K180"/>
    <mergeCell ref="K181:K182"/>
    <mergeCell ref="K183:K184"/>
    <mergeCell ref="K185:K186"/>
    <mergeCell ref="K187:K188"/>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K175:K176"/>
    <mergeCell ref="L175:L176"/>
    <mergeCell ref="M175:M176"/>
    <mergeCell ref="N175:N176"/>
    <mergeCell ref="L177:L178"/>
    <mergeCell ref="M177:M178"/>
    <mergeCell ref="N177:N178"/>
    <mergeCell ref="E181:E182"/>
    <mergeCell ref="F181:F182"/>
    <mergeCell ref="G181:G182"/>
    <mergeCell ref="H181:H182"/>
    <mergeCell ref="E183:E184"/>
    <mergeCell ref="F183:F184"/>
    <mergeCell ref="G183:G184"/>
    <mergeCell ref="H183:H184"/>
    <mergeCell ref="E185:E186"/>
    <mergeCell ref="F185:F186"/>
    <mergeCell ref="G185:G186"/>
    <mergeCell ref="H185:H186"/>
    <mergeCell ref="G179:G180"/>
    <mergeCell ref="H179:H180"/>
    <mergeCell ref="X163:X164"/>
    <mergeCell ref="Y163:Y164"/>
    <mergeCell ref="Z163:Z164"/>
    <mergeCell ref="W165:W166"/>
    <mergeCell ref="X165:X166"/>
    <mergeCell ref="Y165:Y166"/>
    <mergeCell ref="Z165:Z166"/>
    <mergeCell ref="W167:W168"/>
    <mergeCell ref="L167:L168"/>
    <mergeCell ref="M167:M168"/>
    <mergeCell ref="N167:N168"/>
    <mergeCell ref="M169:M170"/>
    <mergeCell ref="N169:N170"/>
    <mergeCell ref="K171:K172"/>
    <mergeCell ref="L171:L172"/>
    <mergeCell ref="M171:M172"/>
    <mergeCell ref="N171:N172"/>
    <mergeCell ref="P171:P172"/>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L187:L188"/>
    <mergeCell ref="M187:M188"/>
    <mergeCell ref="N187:N188"/>
    <mergeCell ref="M173:M174"/>
    <mergeCell ref="N173:N174"/>
    <mergeCell ref="P179:P180"/>
    <mergeCell ref="X183:X184"/>
    <mergeCell ref="Y183:Y184"/>
    <mergeCell ref="Z183:Z184"/>
    <mergeCell ref="W185:W186"/>
    <mergeCell ref="X185:X186"/>
    <mergeCell ref="Y185:Y186"/>
    <mergeCell ref="Z185:Z186"/>
    <mergeCell ref="W187:W188"/>
    <mergeCell ref="X187:X188"/>
    <mergeCell ref="Y187:Y188"/>
    <mergeCell ref="Z187:Z188"/>
    <mergeCell ref="V153:V154"/>
    <mergeCell ref="V155:V156"/>
    <mergeCell ref="V157:V158"/>
    <mergeCell ref="V159:V160"/>
    <mergeCell ref="V161:V162"/>
    <mergeCell ref="V163:V164"/>
    <mergeCell ref="V165:V166"/>
    <mergeCell ref="V167:V168"/>
    <mergeCell ref="V169:V170"/>
    <mergeCell ref="V171:V172"/>
    <mergeCell ref="V173:V174"/>
    <mergeCell ref="V175:V176"/>
    <mergeCell ref="V177:V178"/>
    <mergeCell ref="V179:V180"/>
    <mergeCell ref="V181:V182"/>
    <mergeCell ref="V183:V184"/>
    <mergeCell ref="V185:V186"/>
    <mergeCell ref="V187:V188"/>
    <mergeCell ref="X167:X168"/>
    <mergeCell ref="Y167:Y168"/>
    <mergeCell ref="Z167:Z168"/>
    <mergeCell ref="Q155:Q156"/>
    <mergeCell ref="Q157:Q158"/>
    <mergeCell ref="Q159:Q160"/>
    <mergeCell ref="Q161:Q162"/>
    <mergeCell ref="Q163:Q164"/>
    <mergeCell ref="Q165:Q166"/>
    <mergeCell ref="Q167:Q168"/>
    <mergeCell ref="Q169:Q170"/>
    <mergeCell ref="Q171:Q172"/>
    <mergeCell ref="Q173:Q174"/>
    <mergeCell ref="Q175:Q176"/>
    <mergeCell ref="Q177:Q178"/>
    <mergeCell ref="Q179:Q180"/>
    <mergeCell ref="Q181:Q182"/>
    <mergeCell ref="Q183:Q184"/>
    <mergeCell ref="Q185:Q186"/>
    <mergeCell ref="W183:W184"/>
    <mergeCell ref="W169:W170"/>
    <mergeCell ref="W163:W164"/>
    <mergeCell ref="S163:S164"/>
    <mergeCell ref="S165:S166"/>
    <mergeCell ref="S167:S168"/>
    <mergeCell ref="S169:S170"/>
    <mergeCell ref="S171:S172"/>
    <mergeCell ref="S173:S174"/>
    <mergeCell ref="S175:S176"/>
    <mergeCell ref="S177:S178"/>
    <mergeCell ref="S179:S180"/>
    <mergeCell ref="S181:S182"/>
    <mergeCell ref="S183:S184"/>
    <mergeCell ref="S185:S186"/>
    <mergeCell ref="Q187:Q188"/>
    <mergeCell ref="R153:R154"/>
    <mergeCell ref="R155:R156"/>
    <mergeCell ref="R157:R158"/>
    <mergeCell ref="R159:R160"/>
    <mergeCell ref="R161:R162"/>
    <mergeCell ref="R163:R164"/>
    <mergeCell ref="R165:R166"/>
    <mergeCell ref="R167:R168"/>
    <mergeCell ref="R169:R170"/>
    <mergeCell ref="R171:R172"/>
    <mergeCell ref="R173:R174"/>
    <mergeCell ref="R175:R176"/>
    <mergeCell ref="R177:R178"/>
    <mergeCell ref="R179:R180"/>
    <mergeCell ref="R181:R182"/>
    <mergeCell ref="R183:R184"/>
    <mergeCell ref="R185:R186"/>
    <mergeCell ref="R187:R188"/>
    <mergeCell ref="Q153:Q154"/>
    <mergeCell ref="AC171:AC172"/>
    <mergeCell ref="AC173:AC174"/>
    <mergeCell ref="AC175:AC176"/>
    <mergeCell ref="AC177:AC178"/>
    <mergeCell ref="AC179:AC180"/>
    <mergeCell ref="AC181:AC182"/>
    <mergeCell ref="AC183:AC184"/>
    <mergeCell ref="AC185:AC186"/>
    <mergeCell ref="S187:S188"/>
    <mergeCell ref="T153:T154"/>
    <mergeCell ref="T155:T156"/>
    <mergeCell ref="T157:T158"/>
    <mergeCell ref="T159:T160"/>
    <mergeCell ref="T161:T162"/>
    <mergeCell ref="T163:T164"/>
    <mergeCell ref="T165:T166"/>
    <mergeCell ref="T167:T168"/>
    <mergeCell ref="T169:T170"/>
    <mergeCell ref="T171:T172"/>
    <mergeCell ref="T173:T174"/>
    <mergeCell ref="T175:T176"/>
    <mergeCell ref="T177:T178"/>
    <mergeCell ref="T179:T180"/>
    <mergeCell ref="T181:T182"/>
    <mergeCell ref="T183:T184"/>
    <mergeCell ref="T185:T186"/>
    <mergeCell ref="T187:T188"/>
    <mergeCell ref="S153:S154"/>
    <mergeCell ref="S155:S156"/>
    <mergeCell ref="S157:S158"/>
    <mergeCell ref="S159:S160"/>
    <mergeCell ref="S161:S162"/>
    <mergeCell ref="AE179:AE180"/>
    <mergeCell ref="AE181:AE182"/>
    <mergeCell ref="AE183:AE184"/>
    <mergeCell ref="AE185:AE186"/>
    <mergeCell ref="AC187:AC188"/>
    <mergeCell ref="AD153:AD154"/>
    <mergeCell ref="AD155:AD156"/>
    <mergeCell ref="AD157:AD158"/>
    <mergeCell ref="AD159:AD160"/>
    <mergeCell ref="AD161:AD162"/>
    <mergeCell ref="AD163:AD164"/>
    <mergeCell ref="AD165:AD166"/>
    <mergeCell ref="AD167:AD168"/>
    <mergeCell ref="AD169:AD170"/>
    <mergeCell ref="AD171:AD172"/>
    <mergeCell ref="AD173:AD174"/>
    <mergeCell ref="AD175:AD176"/>
    <mergeCell ref="AD177:AD178"/>
    <mergeCell ref="AD179:AD180"/>
    <mergeCell ref="AD181:AD182"/>
    <mergeCell ref="AD183:AD184"/>
    <mergeCell ref="AD185:AD186"/>
    <mergeCell ref="AD187:AD188"/>
    <mergeCell ref="AC153:AC154"/>
    <mergeCell ref="AC155:AC156"/>
    <mergeCell ref="AC157:AC158"/>
    <mergeCell ref="AC159:AC160"/>
    <mergeCell ref="AC161:AC162"/>
    <mergeCell ref="AC163:AC164"/>
    <mergeCell ref="AC165:AC166"/>
    <mergeCell ref="AC167:AC168"/>
    <mergeCell ref="AC169:AC170"/>
    <mergeCell ref="AE187:AE188"/>
    <mergeCell ref="AF153:AF154"/>
    <mergeCell ref="AF155:AF156"/>
    <mergeCell ref="AF157:AF158"/>
    <mergeCell ref="AF159:AF160"/>
    <mergeCell ref="AF161:AF162"/>
    <mergeCell ref="AF163:AF164"/>
    <mergeCell ref="AF165:AF166"/>
    <mergeCell ref="AF167:AF168"/>
    <mergeCell ref="AF169:AF170"/>
    <mergeCell ref="AF171:AF172"/>
    <mergeCell ref="AF173:AF174"/>
    <mergeCell ref="AF175:AF176"/>
    <mergeCell ref="AF177:AF178"/>
    <mergeCell ref="AF179:AF180"/>
    <mergeCell ref="AF181:AF182"/>
    <mergeCell ref="AF183:AF184"/>
    <mergeCell ref="AF185:AF186"/>
    <mergeCell ref="AF187:AF188"/>
    <mergeCell ref="AE153:AE154"/>
    <mergeCell ref="AE155:AE156"/>
    <mergeCell ref="AE157:AE158"/>
    <mergeCell ref="AE159:AE160"/>
    <mergeCell ref="AE161:AE162"/>
    <mergeCell ref="AE163:AE164"/>
    <mergeCell ref="AE165:AE166"/>
    <mergeCell ref="AE167:AE168"/>
    <mergeCell ref="AE169:AE170"/>
    <mergeCell ref="AE171:AE172"/>
    <mergeCell ref="AE173:AE174"/>
    <mergeCell ref="AE175:AE176"/>
    <mergeCell ref="AE177:AE178"/>
    <mergeCell ref="F192:F193"/>
    <mergeCell ref="G190:G191"/>
    <mergeCell ref="G192:G193"/>
    <mergeCell ref="H190:H191"/>
    <mergeCell ref="H192:H193"/>
    <mergeCell ref="K190:K191"/>
    <mergeCell ref="K192:K193"/>
    <mergeCell ref="L190:L191"/>
    <mergeCell ref="L192:L193"/>
    <mergeCell ref="M190:M191"/>
    <mergeCell ref="M192:M193"/>
    <mergeCell ref="N190:N191"/>
    <mergeCell ref="N192:N193"/>
    <mergeCell ref="Q190:Q191"/>
    <mergeCell ref="Q192:Q193"/>
    <mergeCell ref="R190:R191"/>
    <mergeCell ref="R192:R193"/>
    <mergeCell ref="S190:S191"/>
    <mergeCell ref="S192:S193"/>
    <mergeCell ref="T190:T191"/>
    <mergeCell ref="T192:T193"/>
    <mergeCell ref="W190:W191"/>
    <mergeCell ref="W192:W193"/>
    <mergeCell ref="X190:X191"/>
    <mergeCell ref="X192:X193"/>
    <mergeCell ref="Y190:Y191"/>
    <mergeCell ref="Y192:Y193"/>
    <mergeCell ref="V190:V191"/>
    <mergeCell ref="V192:V193"/>
    <mergeCell ref="Z190:Z191"/>
    <mergeCell ref="Z192:Z193"/>
    <mergeCell ref="AC190:AC191"/>
    <mergeCell ref="AC192:AC193"/>
    <mergeCell ref="AD190:AD191"/>
    <mergeCell ref="AD192:AD193"/>
    <mergeCell ref="AE190:AE191"/>
    <mergeCell ref="AE192:AE193"/>
    <mergeCell ref="AF190:AF191"/>
    <mergeCell ref="AF192:AF193"/>
    <mergeCell ref="AG190:AG191"/>
    <mergeCell ref="AG192:AG193"/>
    <mergeCell ref="V196:V197"/>
    <mergeCell ref="V198:V199"/>
    <mergeCell ref="W196:W197"/>
    <mergeCell ref="W198:W199"/>
    <mergeCell ref="X196:X197"/>
    <mergeCell ref="X198:X199"/>
    <mergeCell ref="V202:V203"/>
    <mergeCell ref="V204:V205"/>
    <mergeCell ref="V206:V207"/>
    <mergeCell ref="V208:V209"/>
    <mergeCell ref="V210:V211"/>
    <mergeCell ref="W200:W201"/>
    <mergeCell ref="W202:W203"/>
    <mergeCell ref="W204:W205"/>
    <mergeCell ref="W206:W207"/>
    <mergeCell ref="W208:W209"/>
    <mergeCell ref="W210:W211"/>
    <mergeCell ref="X200:X201"/>
    <mergeCell ref="X202:X203"/>
    <mergeCell ref="X204:X205"/>
    <mergeCell ref="X206:X207"/>
    <mergeCell ref="X208:X209"/>
    <mergeCell ref="X210:X211"/>
    <mergeCell ref="Y196:Y197"/>
    <mergeCell ref="Y198:Y199"/>
    <mergeCell ref="Y200:Y201"/>
    <mergeCell ref="E196:E197"/>
    <mergeCell ref="E198:E199"/>
    <mergeCell ref="E200:E201"/>
    <mergeCell ref="E202:E203"/>
    <mergeCell ref="E204:E205"/>
    <mergeCell ref="E208:E209"/>
    <mergeCell ref="E210:E211"/>
    <mergeCell ref="F196:F197"/>
    <mergeCell ref="F198:F199"/>
    <mergeCell ref="F200:F201"/>
    <mergeCell ref="F202:F203"/>
    <mergeCell ref="F204:F205"/>
    <mergeCell ref="F206:F207"/>
    <mergeCell ref="F208:F209"/>
    <mergeCell ref="F210:F211"/>
    <mergeCell ref="G196:G197"/>
    <mergeCell ref="G198:G199"/>
    <mergeCell ref="G200:G201"/>
    <mergeCell ref="G202:G203"/>
    <mergeCell ref="G204:G205"/>
    <mergeCell ref="G206:G207"/>
    <mergeCell ref="G208:G209"/>
    <mergeCell ref="G210:G211"/>
    <mergeCell ref="H196:H197"/>
    <mergeCell ref="H198:H199"/>
    <mergeCell ref="H200:H201"/>
    <mergeCell ref="H202:H203"/>
    <mergeCell ref="H204:H205"/>
    <mergeCell ref="H206:H207"/>
    <mergeCell ref="H208:H209"/>
    <mergeCell ref="H210:H211"/>
    <mergeCell ref="K196:K197"/>
    <mergeCell ref="K198:K199"/>
    <mergeCell ref="K200:K201"/>
    <mergeCell ref="K202:K203"/>
    <mergeCell ref="K204:K205"/>
    <mergeCell ref="K206:K207"/>
    <mergeCell ref="K208:K209"/>
    <mergeCell ref="K210:K211"/>
    <mergeCell ref="L196:L197"/>
    <mergeCell ref="L198:L199"/>
    <mergeCell ref="L200:L201"/>
    <mergeCell ref="L202:L203"/>
    <mergeCell ref="L204:L205"/>
    <mergeCell ref="L206:L207"/>
    <mergeCell ref="L208:L209"/>
    <mergeCell ref="L210:L211"/>
    <mergeCell ref="J210:J211"/>
    <mergeCell ref="J202:J203"/>
    <mergeCell ref="J196:J197"/>
    <mergeCell ref="M196:M197"/>
    <mergeCell ref="M198:M199"/>
    <mergeCell ref="M200:M201"/>
    <mergeCell ref="M202:M203"/>
    <mergeCell ref="M204:M205"/>
    <mergeCell ref="M206:M207"/>
    <mergeCell ref="M208:M209"/>
    <mergeCell ref="M210:M211"/>
    <mergeCell ref="N196:N197"/>
    <mergeCell ref="N198:N199"/>
    <mergeCell ref="N200:N201"/>
    <mergeCell ref="N202:N203"/>
    <mergeCell ref="N204:N205"/>
    <mergeCell ref="N206:N207"/>
    <mergeCell ref="N208:N209"/>
    <mergeCell ref="N210:N211"/>
    <mergeCell ref="Q196:Q197"/>
    <mergeCell ref="Q198:Q199"/>
    <mergeCell ref="Q200:Q201"/>
    <mergeCell ref="Q202:Q203"/>
    <mergeCell ref="Q204:Q205"/>
    <mergeCell ref="Q206:Q207"/>
    <mergeCell ref="Q208:Q209"/>
    <mergeCell ref="Q210:Q211"/>
    <mergeCell ref="P210:P211"/>
    <mergeCell ref="P202:P203"/>
    <mergeCell ref="P196:P197"/>
    <mergeCell ref="R196:R197"/>
    <mergeCell ref="R198:R199"/>
    <mergeCell ref="R200:R201"/>
    <mergeCell ref="R202:R203"/>
    <mergeCell ref="R204:R205"/>
    <mergeCell ref="R206:R207"/>
    <mergeCell ref="R208:R209"/>
    <mergeCell ref="R210:R211"/>
    <mergeCell ref="S196:S197"/>
    <mergeCell ref="S198:S199"/>
    <mergeCell ref="S200:S201"/>
    <mergeCell ref="S202:S203"/>
    <mergeCell ref="S204:S205"/>
    <mergeCell ref="S206:S207"/>
    <mergeCell ref="S208:S209"/>
    <mergeCell ref="S210:S211"/>
    <mergeCell ref="T196:T197"/>
    <mergeCell ref="T198:T199"/>
    <mergeCell ref="T200:T201"/>
    <mergeCell ref="T202:T203"/>
    <mergeCell ref="T204:T205"/>
    <mergeCell ref="T206:T207"/>
    <mergeCell ref="T208:T209"/>
    <mergeCell ref="T210:T211"/>
    <mergeCell ref="Y210:Y211"/>
    <mergeCell ref="Z196:Z197"/>
    <mergeCell ref="Z198:Z199"/>
    <mergeCell ref="Z200:Z201"/>
    <mergeCell ref="Z202:Z203"/>
    <mergeCell ref="Z204:Z205"/>
    <mergeCell ref="Z206:Z207"/>
    <mergeCell ref="Z208:Z209"/>
    <mergeCell ref="Z210:Z211"/>
    <mergeCell ref="AD210:AD211"/>
    <mergeCell ref="AC196:AC197"/>
    <mergeCell ref="AC198:AC199"/>
    <mergeCell ref="AC200:AC201"/>
    <mergeCell ref="AC202:AC203"/>
    <mergeCell ref="AC204:AC205"/>
    <mergeCell ref="AC206:AC207"/>
    <mergeCell ref="AD196:AD197"/>
    <mergeCell ref="AD198:AD199"/>
    <mergeCell ref="AD200:AD201"/>
    <mergeCell ref="AD202:AD203"/>
    <mergeCell ref="AD204:AD205"/>
    <mergeCell ref="AD206:AD207"/>
    <mergeCell ref="AB210:AB211"/>
    <mergeCell ref="AB202:AB203"/>
    <mergeCell ref="AB196:AB197"/>
    <mergeCell ref="AF210:AF211"/>
    <mergeCell ref="AE196:AE197"/>
    <mergeCell ref="AE198:AE199"/>
    <mergeCell ref="AE200:AE201"/>
    <mergeCell ref="AE202:AE203"/>
    <mergeCell ref="AE204:AE205"/>
    <mergeCell ref="AE206:AE207"/>
    <mergeCell ref="AF196:AF197"/>
    <mergeCell ref="AF198:AF199"/>
    <mergeCell ref="AF200:AF201"/>
    <mergeCell ref="AF202:AF203"/>
    <mergeCell ref="AF204:AF205"/>
    <mergeCell ref="AF206:AF207"/>
    <mergeCell ref="H213:H214"/>
    <mergeCell ref="E215:E216"/>
    <mergeCell ref="F215:F216"/>
    <mergeCell ref="G215:G216"/>
    <mergeCell ref="H215:H216"/>
    <mergeCell ref="AE208:AE209"/>
    <mergeCell ref="AE210:AE211"/>
    <mergeCell ref="AC208:AC209"/>
    <mergeCell ref="AC210:AC211"/>
    <mergeCell ref="AD208:AD209"/>
    <mergeCell ref="K213:K214"/>
    <mergeCell ref="L213:L214"/>
    <mergeCell ref="F213:F214"/>
    <mergeCell ref="G213:G214"/>
    <mergeCell ref="M213:M214"/>
    <mergeCell ref="N213:N214"/>
    <mergeCell ref="K215:K216"/>
    <mergeCell ref="L215:L216"/>
    <mergeCell ref="M215:M216"/>
    <mergeCell ref="T213:T214"/>
    <mergeCell ref="Q217:Q218"/>
    <mergeCell ref="R217:R218"/>
    <mergeCell ref="S217:S218"/>
    <mergeCell ref="T217:T218"/>
    <mergeCell ref="U213:U214"/>
    <mergeCell ref="Q215:Q216"/>
    <mergeCell ref="R215:R216"/>
    <mergeCell ref="S215:S216"/>
    <mergeCell ref="T215:T216"/>
    <mergeCell ref="U215:U216"/>
    <mergeCell ref="V213:V214"/>
    <mergeCell ref="V215:V216"/>
    <mergeCell ref="V217:V218"/>
    <mergeCell ref="W213:W214"/>
    <mergeCell ref="X213:X214"/>
    <mergeCell ref="W217:W218"/>
    <mergeCell ref="X217:X218"/>
    <mergeCell ref="W215:W216"/>
    <mergeCell ref="X215:X216"/>
    <mergeCell ref="Y215:Y216"/>
    <mergeCell ref="Z215:Z216"/>
    <mergeCell ref="AA215:AA216"/>
    <mergeCell ref="U217:U218"/>
    <mergeCell ref="Y217:Y218"/>
    <mergeCell ref="Z217:Z218"/>
    <mergeCell ref="AA217:AA218"/>
    <mergeCell ref="AC213:AC214"/>
    <mergeCell ref="AC215:AC216"/>
    <mergeCell ref="AC217:AC218"/>
    <mergeCell ref="Y213:Y214"/>
    <mergeCell ref="Z213:Z214"/>
    <mergeCell ref="AA213:AA214"/>
    <mergeCell ref="AD213:AD214"/>
    <mergeCell ref="AE213:AE214"/>
    <mergeCell ref="AF213:AF214"/>
    <mergeCell ref="AD215:AD216"/>
    <mergeCell ref="AE215:AE216"/>
    <mergeCell ref="AF215:AF216"/>
    <mergeCell ref="AD217:AD218"/>
    <mergeCell ref="AE217:AE218"/>
    <mergeCell ref="AF217:AF218"/>
    <mergeCell ref="E237:E238"/>
    <mergeCell ref="F237:F238"/>
    <mergeCell ref="G237:G238"/>
    <mergeCell ref="H237:H238"/>
    <mergeCell ref="K237:K238"/>
    <mergeCell ref="L237:L238"/>
    <mergeCell ref="M237:M238"/>
    <mergeCell ref="E239:E240"/>
    <mergeCell ref="F239:F240"/>
    <mergeCell ref="G239:G240"/>
    <mergeCell ref="H239:H240"/>
    <mergeCell ref="E241:E242"/>
    <mergeCell ref="F241:F242"/>
    <mergeCell ref="G241:G242"/>
    <mergeCell ref="H241:H242"/>
    <mergeCell ref="E243:E244"/>
    <mergeCell ref="F243:F244"/>
    <mergeCell ref="G243:G244"/>
    <mergeCell ref="H243:H244"/>
    <mergeCell ref="K239:K240"/>
    <mergeCell ref="L239:L240"/>
    <mergeCell ref="M239:M240"/>
    <mergeCell ref="K241:K242"/>
    <mergeCell ref="L241:L242"/>
    <mergeCell ref="M241:M242"/>
    <mergeCell ref="K243:K244"/>
    <mergeCell ref="L243:L244"/>
    <mergeCell ref="M243:M244"/>
    <mergeCell ref="K253:K254"/>
    <mergeCell ref="L253:L254"/>
    <mergeCell ref="M253:M254"/>
    <mergeCell ref="N253:N254"/>
    <mergeCell ref="O253:O254"/>
    <mergeCell ref="E245:E246"/>
    <mergeCell ref="F245:F246"/>
    <mergeCell ref="G245:G246"/>
    <mergeCell ref="H245:H246"/>
    <mergeCell ref="E247:E248"/>
    <mergeCell ref="F247:F248"/>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J253:J254"/>
    <mergeCell ref="Q245:Q246"/>
    <mergeCell ref="R245:R246"/>
    <mergeCell ref="S245:S246"/>
    <mergeCell ref="T245:T246"/>
    <mergeCell ref="M247:M248"/>
    <mergeCell ref="N247:N248"/>
    <mergeCell ref="O247:O248"/>
    <mergeCell ref="K249:K250"/>
    <mergeCell ref="L249:L250"/>
    <mergeCell ref="M249:M250"/>
    <mergeCell ref="N249:N250"/>
    <mergeCell ref="O249:O250"/>
    <mergeCell ref="K251:K252"/>
    <mergeCell ref="L251:L252"/>
    <mergeCell ref="M251:M252"/>
    <mergeCell ref="N251:N252"/>
    <mergeCell ref="O251:O252"/>
    <mergeCell ref="Q247:Q248"/>
    <mergeCell ref="R247:R248"/>
    <mergeCell ref="S247:S248"/>
    <mergeCell ref="T247:T248"/>
    <mergeCell ref="Q249:Q250"/>
    <mergeCell ref="R249:R250"/>
    <mergeCell ref="S249:S250"/>
    <mergeCell ref="T249:T250"/>
    <mergeCell ref="Q251:Q252"/>
    <mergeCell ref="R251:R252"/>
    <mergeCell ref="S251:S252"/>
    <mergeCell ref="T251:T252"/>
    <mergeCell ref="Q253:Q254"/>
    <mergeCell ref="R253:R254"/>
    <mergeCell ref="S253:S254"/>
    <mergeCell ref="T253:T254"/>
    <mergeCell ref="V237:V238"/>
    <mergeCell ref="V245:V246"/>
    <mergeCell ref="V253:V254"/>
    <mergeCell ref="T237:T238"/>
    <mergeCell ref="Q239:Q240"/>
    <mergeCell ref="R239:R240"/>
    <mergeCell ref="S239:S240"/>
    <mergeCell ref="T239:T240"/>
    <mergeCell ref="Q241:Q242"/>
    <mergeCell ref="R241:R242"/>
    <mergeCell ref="S241:S242"/>
    <mergeCell ref="T241:T242"/>
    <mergeCell ref="Q243:Q244"/>
    <mergeCell ref="R243:R244"/>
    <mergeCell ref="S243:S244"/>
    <mergeCell ref="T243:T244"/>
    <mergeCell ref="W237:W238"/>
    <mergeCell ref="X237:X238"/>
    <mergeCell ref="Y237:Y238"/>
    <mergeCell ref="Z237:Z238"/>
    <mergeCell ref="V239:V240"/>
    <mergeCell ref="W239:W240"/>
    <mergeCell ref="X239:X240"/>
    <mergeCell ref="Y239:Y240"/>
    <mergeCell ref="Z239:Z240"/>
    <mergeCell ref="V241:V242"/>
    <mergeCell ref="W241:W242"/>
    <mergeCell ref="X241:X242"/>
    <mergeCell ref="Y241:Y242"/>
    <mergeCell ref="Z241:Z242"/>
    <mergeCell ref="V243:V244"/>
    <mergeCell ref="W243:W244"/>
    <mergeCell ref="X243:X244"/>
    <mergeCell ref="Y243:Y244"/>
    <mergeCell ref="Z243:Z244"/>
    <mergeCell ref="AC251:AC252"/>
    <mergeCell ref="AD251:AD252"/>
    <mergeCell ref="AE251:AE252"/>
    <mergeCell ref="AF251:AF252"/>
    <mergeCell ref="AD245:AD246"/>
    <mergeCell ref="AE245:AE246"/>
    <mergeCell ref="AF245:AF246"/>
    <mergeCell ref="AC247:AC248"/>
    <mergeCell ref="W245:W246"/>
    <mergeCell ref="X245:X246"/>
    <mergeCell ref="Y245:Y246"/>
    <mergeCell ref="Z245:Z246"/>
    <mergeCell ref="V247:V248"/>
    <mergeCell ref="W247:W248"/>
    <mergeCell ref="X247:X248"/>
    <mergeCell ref="Y247:Y248"/>
    <mergeCell ref="Z247:Z248"/>
    <mergeCell ref="V249:V250"/>
    <mergeCell ref="W249:W250"/>
    <mergeCell ref="X249:X250"/>
    <mergeCell ref="Y249:Y250"/>
    <mergeCell ref="Z249:Z250"/>
    <mergeCell ref="V251:V252"/>
    <mergeCell ref="W251:W252"/>
    <mergeCell ref="X251:X252"/>
    <mergeCell ref="Y251:Y252"/>
    <mergeCell ref="Z251:Z252"/>
    <mergeCell ref="AD247:AD248"/>
    <mergeCell ref="AE247:AE248"/>
    <mergeCell ref="AD253:AD254"/>
    <mergeCell ref="AE253:AE254"/>
    <mergeCell ref="AF253:AF254"/>
    <mergeCell ref="AD249:AD250"/>
    <mergeCell ref="AE249:AE250"/>
    <mergeCell ref="AF249:AF250"/>
    <mergeCell ref="W253:W254"/>
    <mergeCell ref="X253:X254"/>
    <mergeCell ref="Y253:Y254"/>
    <mergeCell ref="Z253:Z254"/>
    <mergeCell ref="AC237:AC238"/>
    <mergeCell ref="AC241:AC242"/>
    <mergeCell ref="AC245:AC246"/>
    <mergeCell ref="AC249:AC250"/>
    <mergeCell ref="AC253:AC254"/>
    <mergeCell ref="AD237:AD238"/>
    <mergeCell ref="AE237:AE238"/>
    <mergeCell ref="AF237:AF238"/>
    <mergeCell ref="AC239:AC240"/>
    <mergeCell ref="AD239:AD240"/>
    <mergeCell ref="AE239:AE240"/>
    <mergeCell ref="AF239:AF240"/>
    <mergeCell ref="AF247:AF248"/>
    <mergeCell ref="AD241:AD242"/>
    <mergeCell ref="AE241:AE242"/>
    <mergeCell ref="AF241:AF242"/>
    <mergeCell ref="AC243:AC244"/>
    <mergeCell ref="AD243:AD244"/>
    <mergeCell ref="AE243:AE244"/>
    <mergeCell ref="AF243:AF244"/>
  </mergeCells>
  <phoneticPr fontId="21" type="noConversion"/>
  <pageMargins left="0.2" right="0.1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307D-43B1-4585-998B-C2F681D5E55E}">
  <dimension ref="A1:AI256"/>
  <sheetViews>
    <sheetView zoomScaleNormal="100" workbookViewId="0">
      <selection activeCell="A8" sqref="A8:P8"/>
    </sheetView>
  </sheetViews>
  <sheetFormatPr defaultRowHeight="10.199999999999999" x14ac:dyDescent="0.2"/>
  <cols>
    <col min="1" max="1" width="8.88671875" style="11"/>
    <col min="2" max="2" width="22.109375" style="31" customWidth="1"/>
    <col min="3" max="3" width="6.44140625" style="31" customWidth="1"/>
    <col min="4" max="4" width="3.77734375" style="11" customWidth="1"/>
    <col min="5" max="9" width="4.77734375" style="11" customWidth="1"/>
    <col min="10" max="10" width="5.6640625" style="11" customWidth="1"/>
    <col min="11" max="15" width="4.77734375" style="11" customWidth="1"/>
    <col min="16" max="16" width="5.5546875" style="11" customWidth="1"/>
    <col min="17" max="34" width="4.77734375" style="11" customWidth="1"/>
    <col min="35" max="16384" width="8.88671875" style="11"/>
  </cols>
  <sheetData>
    <row r="1" spans="1:34" x14ac:dyDescent="0.2">
      <c r="A1" s="9"/>
      <c r="B1" s="10"/>
      <c r="C1" s="10"/>
      <c r="D1" s="9"/>
    </row>
    <row r="2" spans="1:34" x14ac:dyDescent="0.2">
      <c r="A2" s="297" t="s">
        <v>51</v>
      </c>
      <c r="B2" s="297"/>
      <c r="C2" s="297"/>
      <c r="D2" s="269"/>
      <c r="E2" s="269"/>
      <c r="F2" s="269"/>
      <c r="G2" s="269"/>
      <c r="H2" s="269"/>
      <c r="I2" s="269"/>
      <c r="J2" s="269"/>
      <c r="K2" s="269"/>
      <c r="L2" s="326"/>
    </row>
    <row r="3" spans="1:34" x14ac:dyDescent="0.2">
      <c r="A3" s="297" t="s">
        <v>50</v>
      </c>
      <c r="B3" s="297"/>
      <c r="C3" s="297"/>
      <c r="D3" s="269"/>
      <c r="E3" s="269"/>
      <c r="F3" s="269"/>
      <c r="G3" s="269"/>
      <c r="H3" s="269"/>
      <c r="J3" s="15"/>
    </row>
    <row r="4" spans="1:34" x14ac:dyDescent="0.2">
      <c r="A4" s="297" t="s">
        <v>132</v>
      </c>
      <c r="B4" s="297"/>
      <c r="C4" s="297"/>
      <c r="D4" s="12"/>
    </row>
    <row r="5" spans="1:34" x14ac:dyDescent="0.2">
      <c r="A5" s="271" t="s">
        <v>148</v>
      </c>
      <c r="B5" s="269"/>
      <c r="C5" s="269"/>
      <c r="D5" s="14"/>
      <c r="Q5" s="11" t="s">
        <v>74</v>
      </c>
      <c r="R5" s="15"/>
      <c r="W5" s="11" t="s">
        <v>74</v>
      </c>
      <c r="Y5" s="278"/>
      <c r="AC5" s="11" t="s">
        <v>74</v>
      </c>
    </row>
    <row r="6" spans="1:34" x14ac:dyDescent="0.2">
      <c r="A6" s="271" t="s">
        <v>154</v>
      </c>
      <c r="B6" s="269"/>
      <c r="C6" s="163"/>
      <c r="D6" s="9"/>
      <c r="I6" s="16"/>
      <c r="J6" s="16"/>
      <c r="O6" s="16"/>
      <c r="U6" s="16"/>
      <c r="V6" s="16"/>
      <c r="Y6" s="278"/>
      <c r="AA6" s="16"/>
      <c r="AB6" s="16"/>
      <c r="AG6" s="16"/>
      <c r="AH6" s="16"/>
    </row>
    <row r="7" spans="1:34" x14ac:dyDescent="0.2">
      <c r="A7" s="268"/>
      <c r="B7" s="268"/>
      <c r="C7" s="268"/>
      <c r="D7" s="269"/>
      <c r="E7" s="269"/>
      <c r="F7" s="269"/>
      <c r="G7" s="269"/>
      <c r="H7" s="269"/>
      <c r="I7" s="269"/>
      <c r="J7" s="269"/>
      <c r="K7" s="269"/>
      <c r="L7" s="269"/>
    </row>
    <row r="8" spans="1:34" x14ac:dyDescent="0.2">
      <c r="A8" s="268" t="s">
        <v>158</v>
      </c>
      <c r="B8" s="268"/>
      <c r="C8" s="268"/>
      <c r="D8" s="269"/>
      <c r="E8" s="269"/>
      <c r="F8" s="269"/>
      <c r="G8" s="269"/>
      <c r="H8" s="269"/>
      <c r="I8" s="269"/>
      <c r="J8" s="269"/>
      <c r="K8" s="269"/>
      <c r="L8" s="269"/>
      <c r="M8" s="326"/>
      <c r="N8" s="326"/>
      <c r="O8" s="326"/>
      <c r="P8" s="326"/>
    </row>
    <row r="9" spans="1:34" ht="28.8" customHeight="1" x14ac:dyDescent="0.2">
      <c r="A9" s="9"/>
      <c r="B9" s="10"/>
      <c r="C9" s="10"/>
      <c r="D9" s="9"/>
    </row>
    <row r="10" spans="1:34" x14ac:dyDescent="0.2">
      <c r="A10" s="17"/>
      <c r="B10" s="293" t="s">
        <v>38</v>
      </c>
      <c r="C10" s="292"/>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2"/>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2"/>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18">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66" t="s">
        <v>105</v>
      </c>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row>
    <row r="15" spans="1:34" ht="10.8" thickBot="1" x14ac:dyDescent="0.25">
      <c r="A15" s="289"/>
      <c r="B15" s="284" t="s">
        <v>92</v>
      </c>
      <c r="C15" s="291"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91"/>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91"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91"/>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91"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91"/>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0.8" thickBot="1" x14ac:dyDescent="0.25">
      <c r="A21" s="289"/>
      <c r="B21" s="284" t="s">
        <v>80</v>
      </c>
      <c r="C21" s="291"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91"/>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91"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91"/>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91"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91"/>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0.8" thickBot="1" x14ac:dyDescent="0.25">
      <c r="A27" s="289"/>
      <c r="B27" s="284" t="s">
        <v>81</v>
      </c>
      <c r="C27" s="291"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91"/>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91"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91"/>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91"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91"/>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0.8" thickBot="1" x14ac:dyDescent="0.25">
      <c r="A33" s="289"/>
      <c r="B33" s="294" t="s">
        <v>79</v>
      </c>
      <c r="C33" s="291"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20.399999999999999" customHeight="1" thickBot="1" x14ac:dyDescent="0.25">
      <c r="A34" s="289"/>
      <c r="B34" s="294"/>
      <c r="C34" s="291"/>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22.2" customHeight="1"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21" customHeight="1"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21" customHeight="1" thickBot="1" x14ac:dyDescent="0.25">
      <c r="A37" s="289"/>
      <c r="B37" s="294"/>
      <c r="C37" s="291"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27.6" customHeight="1" thickBot="1" x14ac:dyDescent="0.25">
      <c r="A38" s="289"/>
      <c r="B38" s="294"/>
      <c r="C38" s="291"/>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84"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84"/>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84"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84"/>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84"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84"/>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row>
    <row r="59" spans="1:34" ht="30" customHeight="1"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ht="21.6" customHeight="1"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ht="31.8" customHeight="1"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28.8" customHeight="1"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5.2"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5.8"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ht="24" customHeight="1"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ht="34.200000000000003" customHeight="1"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305" t="s">
        <v>19</v>
      </c>
      <c r="C80" s="305"/>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34" x14ac:dyDescent="0.2">
      <c r="A81" s="30" t="s">
        <v>41</v>
      </c>
      <c r="B81" s="305" t="s">
        <v>20</v>
      </c>
      <c r="C81" s="30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row>
    <row r="82" spans="1:34" ht="83.4" customHeight="1" x14ac:dyDescent="0.2">
      <c r="A82" s="289"/>
      <c r="B82" s="33" t="s">
        <v>95</v>
      </c>
      <c r="C82" s="34"/>
      <c r="D82" s="24" t="s">
        <v>135</v>
      </c>
      <c r="E82" s="35">
        <v>12</v>
      </c>
      <c r="F82" s="35">
        <v>12</v>
      </c>
      <c r="G82" s="35">
        <v>12</v>
      </c>
      <c r="H82" s="35">
        <v>14</v>
      </c>
      <c r="I82" s="35"/>
      <c r="J82" s="35">
        <v>50</v>
      </c>
      <c r="K82" s="35">
        <v>12</v>
      </c>
      <c r="L82" s="35">
        <v>12</v>
      </c>
      <c r="M82" s="35">
        <v>12</v>
      </c>
      <c r="N82" s="35">
        <v>14</v>
      </c>
      <c r="O82" s="36"/>
      <c r="P82" s="35">
        <v>50</v>
      </c>
      <c r="Q82" s="35">
        <v>12</v>
      </c>
      <c r="R82" s="35">
        <v>12</v>
      </c>
      <c r="S82" s="35">
        <v>12</v>
      </c>
      <c r="T82" s="35">
        <v>14</v>
      </c>
      <c r="U82" s="35"/>
      <c r="V82" s="35">
        <v>50</v>
      </c>
      <c r="W82" s="35">
        <v>12</v>
      </c>
      <c r="X82" s="35">
        <v>12</v>
      </c>
      <c r="Y82" s="35">
        <v>12</v>
      </c>
      <c r="Z82" s="35">
        <v>14</v>
      </c>
      <c r="AA82" s="36"/>
      <c r="AB82" s="35">
        <v>50</v>
      </c>
      <c r="AC82" s="35">
        <v>12</v>
      </c>
      <c r="AD82" s="35">
        <v>12</v>
      </c>
      <c r="AE82" s="35">
        <v>12</v>
      </c>
      <c r="AF82" s="35">
        <v>14</v>
      </c>
      <c r="AG82" s="35"/>
      <c r="AH82" s="35">
        <v>50</v>
      </c>
    </row>
    <row r="83" spans="1:34" x14ac:dyDescent="0.2">
      <c r="A83" s="289"/>
      <c r="B83" s="284" t="s">
        <v>84</v>
      </c>
      <c r="C83" s="291"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289"/>
      <c r="B84" s="284"/>
      <c r="C84" s="291"/>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91"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91"/>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91"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91"/>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91"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91"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91"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46.2" customHeight="1" x14ac:dyDescent="0.2">
      <c r="A95" s="289"/>
      <c r="B95" s="284" t="s">
        <v>97</v>
      </c>
      <c r="C95" s="287"/>
      <c r="D95" s="24" t="s">
        <v>135</v>
      </c>
      <c r="E95" s="162">
        <v>15</v>
      </c>
      <c r="F95" s="162">
        <v>15</v>
      </c>
      <c r="G95" s="162">
        <v>15</v>
      </c>
      <c r="H95" s="162">
        <v>15</v>
      </c>
      <c r="I95" s="35"/>
      <c r="J95" s="35">
        <v>60</v>
      </c>
      <c r="K95" s="162">
        <v>15</v>
      </c>
      <c r="L95" s="162">
        <v>15</v>
      </c>
      <c r="M95" s="162">
        <v>15</v>
      </c>
      <c r="N95" s="162">
        <v>15</v>
      </c>
      <c r="O95" s="35"/>
      <c r="P95" s="35">
        <v>60</v>
      </c>
      <c r="Q95" s="162">
        <v>15</v>
      </c>
      <c r="R95" s="162">
        <v>15</v>
      </c>
      <c r="S95" s="162">
        <v>15</v>
      </c>
      <c r="T95" s="162">
        <v>15</v>
      </c>
      <c r="U95" s="35"/>
      <c r="V95" s="35">
        <v>60</v>
      </c>
      <c r="W95" s="162">
        <v>15</v>
      </c>
      <c r="X95" s="162">
        <v>15</v>
      </c>
      <c r="Y95" s="162">
        <v>15</v>
      </c>
      <c r="Z95" s="162">
        <v>15</v>
      </c>
      <c r="AA95" s="162"/>
      <c r="AB95" s="35">
        <v>60</v>
      </c>
      <c r="AC95" s="162">
        <v>15</v>
      </c>
      <c r="AD95" s="162">
        <v>15</v>
      </c>
      <c r="AE95" s="162">
        <v>15</v>
      </c>
      <c r="AF95" s="162">
        <v>15</v>
      </c>
      <c r="AG95" s="35"/>
      <c r="AH95" s="35">
        <v>60</v>
      </c>
    </row>
    <row r="96" spans="1:34" x14ac:dyDescent="0.2">
      <c r="A96" s="289"/>
      <c r="B96" s="284" t="s">
        <v>85</v>
      </c>
      <c r="C96" s="291"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x14ac:dyDescent="0.2">
      <c r="A97" s="289"/>
      <c r="B97" s="284"/>
      <c r="C97" s="291"/>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x14ac:dyDescent="0.2">
      <c r="A98" s="289"/>
      <c r="B98" s="284"/>
      <c r="C98" s="291"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x14ac:dyDescent="0.2">
      <c r="A99" s="289"/>
      <c r="B99" s="284"/>
      <c r="C99" s="291"/>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x14ac:dyDescent="0.2">
      <c r="A100" s="289"/>
      <c r="B100" s="284"/>
      <c r="C100" s="291"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x14ac:dyDescent="0.2">
      <c r="A101" s="289"/>
      <c r="B101" s="284"/>
      <c r="C101" s="291"/>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x14ac:dyDescent="0.2">
      <c r="A102" s="289"/>
      <c r="B102" s="284" t="s">
        <v>98</v>
      </c>
      <c r="C102" s="291"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x14ac:dyDescent="0.2">
      <c r="A103" s="28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x14ac:dyDescent="0.2">
      <c r="A104" s="289"/>
      <c r="B104" s="287"/>
      <c r="C104" s="291"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x14ac:dyDescent="0.2">
      <c r="A105" s="28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x14ac:dyDescent="0.2">
      <c r="A106" s="289"/>
      <c r="B106" s="287"/>
      <c r="C106" s="291"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x14ac:dyDescent="0.2">
      <c r="A107" s="28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row>
    <row r="109" spans="1:34" x14ac:dyDescent="0.2">
      <c r="A109" s="273"/>
      <c r="B109" s="298" t="s">
        <v>23</v>
      </c>
      <c r="C109" s="298"/>
      <c r="D109" s="24" t="s">
        <v>135</v>
      </c>
      <c r="E109" s="23">
        <v>13</v>
      </c>
      <c r="F109" s="23">
        <v>13</v>
      </c>
      <c r="G109" s="23">
        <v>13</v>
      </c>
      <c r="H109" s="23">
        <v>13</v>
      </c>
      <c r="I109" s="26"/>
      <c r="J109" s="41">
        <v>52</v>
      </c>
      <c r="K109" s="23">
        <v>13</v>
      </c>
      <c r="L109" s="23">
        <v>13</v>
      </c>
      <c r="M109" s="23">
        <v>13</v>
      </c>
      <c r="N109" s="23">
        <v>13</v>
      </c>
      <c r="O109" s="26"/>
      <c r="P109" s="41">
        <v>52</v>
      </c>
      <c r="Q109" s="23">
        <v>13</v>
      </c>
      <c r="R109" s="23">
        <v>13</v>
      </c>
      <c r="S109" s="23">
        <v>13</v>
      </c>
      <c r="T109" s="23">
        <v>13</v>
      </c>
      <c r="U109" s="26"/>
      <c r="V109" s="41">
        <v>52</v>
      </c>
      <c r="W109" s="23">
        <v>13</v>
      </c>
      <c r="X109" s="23">
        <v>13</v>
      </c>
      <c r="Y109" s="23">
        <v>13</v>
      </c>
      <c r="Z109" s="23">
        <v>13</v>
      </c>
      <c r="AA109" s="26"/>
      <c r="AB109" s="41">
        <v>52</v>
      </c>
      <c r="AC109" s="23">
        <v>13</v>
      </c>
      <c r="AD109" s="23">
        <v>13</v>
      </c>
      <c r="AE109" s="23">
        <v>13</v>
      </c>
      <c r="AF109" s="23">
        <v>13</v>
      </c>
      <c r="AG109" s="26"/>
      <c r="AH109" s="41">
        <v>52</v>
      </c>
    </row>
    <row r="110" spans="1:34" ht="18" customHeight="1" x14ac:dyDescent="0.2">
      <c r="A110" s="273"/>
      <c r="B110" s="284" t="s">
        <v>99</v>
      </c>
      <c r="C110" s="285"/>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285"/>
      <c r="C111" s="285"/>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x14ac:dyDescent="0.2">
      <c r="A112" s="273"/>
      <c r="B112" s="284" t="s">
        <v>136</v>
      </c>
      <c r="C112" s="291"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x14ac:dyDescent="0.2">
      <c r="A113" s="273"/>
      <c r="B113" s="284"/>
      <c r="C113" s="291"/>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x14ac:dyDescent="0.2">
      <c r="A114" s="273"/>
      <c r="B114" s="284"/>
      <c r="C114" s="291"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x14ac:dyDescent="0.2">
      <c r="A115" s="273"/>
      <c r="B115" s="284"/>
      <c r="C115" s="291"/>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x14ac:dyDescent="0.2">
      <c r="A116" s="273"/>
      <c r="B116" s="284"/>
      <c r="C116" s="291"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x14ac:dyDescent="0.2">
      <c r="A117" s="273"/>
      <c r="B117" s="284"/>
      <c r="C117" s="291"/>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x14ac:dyDescent="0.2">
      <c r="A118" s="273"/>
      <c r="B118" s="284" t="s">
        <v>86</v>
      </c>
      <c r="C118" s="291"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x14ac:dyDescent="0.2">
      <c r="A119" s="273"/>
      <c r="B119" s="284"/>
      <c r="C119" s="291"/>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x14ac:dyDescent="0.2">
      <c r="A120" s="273"/>
      <c r="B120" s="284"/>
      <c r="C120" s="291"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x14ac:dyDescent="0.2">
      <c r="A121" s="273"/>
      <c r="B121" s="284"/>
      <c r="C121" s="291"/>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x14ac:dyDescent="0.2">
      <c r="A122" s="273"/>
      <c r="B122" s="284"/>
      <c r="C122" s="291"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x14ac:dyDescent="0.2">
      <c r="A123" s="273"/>
      <c r="B123" s="284"/>
      <c r="C123" s="291"/>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x14ac:dyDescent="0.2">
      <c r="A124" s="17" t="s">
        <v>24</v>
      </c>
      <c r="B124" s="264" t="s">
        <v>25</v>
      </c>
      <c r="C124" s="264"/>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row>
    <row r="125" spans="1:34" x14ac:dyDescent="0.2">
      <c r="A125" s="289"/>
      <c r="B125" s="284" t="s">
        <v>137</v>
      </c>
      <c r="C125" s="291" t="s">
        <v>26</v>
      </c>
      <c r="D125" s="27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7">
        <v>5.0000000000000001E-3</v>
      </c>
      <c r="Q125" s="255">
        <v>5.0000000000000001E-3</v>
      </c>
      <c r="R125" s="255">
        <v>5.0000000000000001E-3</v>
      </c>
      <c r="S125" s="255">
        <v>5.0000000000000001E-3</v>
      </c>
      <c r="T125" s="255">
        <v>5.0000000000000001E-3</v>
      </c>
      <c r="U125" s="26"/>
      <c r="V125" s="27">
        <v>5.0000000000000001E-3</v>
      </c>
      <c r="W125" s="255">
        <v>5.0000000000000001E-3</v>
      </c>
      <c r="X125" s="255">
        <v>5.0000000000000001E-3</v>
      </c>
      <c r="Y125" s="255">
        <v>5.0000000000000001E-3</v>
      </c>
      <c r="Z125" s="255">
        <v>5.0000000000000001E-3</v>
      </c>
      <c r="AA125" s="26"/>
      <c r="AB125" s="27">
        <v>5.0000000000000001E-3</v>
      </c>
      <c r="AC125" s="255">
        <v>5.0000000000000001E-3</v>
      </c>
      <c r="AD125" s="255">
        <v>5.0000000000000001E-3</v>
      </c>
      <c r="AE125" s="255">
        <v>5.0000000000000001E-3</v>
      </c>
      <c r="AF125" s="255">
        <v>5.0000000000000001E-3</v>
      </c>
      <c r="AG125" s="26"/>
      <c r="AH125" s="27">
        <v>5.0000000000000001E-3</v>
      </c>
    </row>
    <row r="126" spans="1:34" x14ac:dyDescent="0.2">
      <c r="A126" s="289"/>
      <c r="B126" s="284"/>
      <c r="C126" s="291"/>
      <c r="D126" s="251"/>
      <c r="E126" s="256"/>
      <c r="F126" s="256"/>
      <c r="G126" s="256"/>
      <c r="H126" s="256"/>
      <c r="I126" s="26"/>
      <c r="J126" s="256"/>
      <c r="K126" s="256"/>
      <c r="L126" s="256"/>
      <c r="M126" s="256"/>
      <c r="N126" s="256"/>
      <c r="O126" s="26"/>
      <c r="P126" s="27"/>
      <c r="Q126" s="256"/>
      <c r="R126" s="256"/>
      <c r="S126" s="256"/>
      <c r="T126" s="256"/>
      <c r="U126" s="26"/>
      <c r="V126" s="27"/>
      <c r="W126" s="256"/>
      <c r="X126" s="256"/>
      <c r="Y126" s="256"/>
      <c r="Z126" s="256"/>
      <c r="AA126" s="26"/>
      <c r="AB126" s="27"/>
      <c r="AC126" s="256"/>
      <c r="AD126" s="256"/>
      <c r="AE126" s="256"/>
      <c r="AF126" s="256"/>
      <c r="AG126" s="26"/>
      <c r="AH126" s="27"/>
    </row>
    <row r="127" spans="1:34" x14ac:dyDescent="0.2">
      <c r="A127" s="289"/>
      <c r="B127" s="284"/>
      <c r="C127" s="291"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x14ac:dyDescent="0.2">
      <c r="A128" s="289"/>
      <c r="B128" s="284"/>
      <c r="C128" s="291"/>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x14ac:dyDescent="0.2">
      <c r="A129" s="289"/>
      <c r="B129" s="284"/>
      <c r="C129" s="291"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x14ac:dyDescent="0.2">
      <c r="A130" s="289"/>
      <c r="B130" s="284"/>
      <c r="C130" s="291"/>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x14ac:dyDescent="0.2">
      <c r="A131" s="289"/>
      <c r="B131" s="284" t="s">
        <v>138</v>
      </c>
      <c r="C131" s="291" t="s">
        <v>26</v>
      </c>
      <c r="D131" s="27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x14ac:dyDescent="0.2">
      <c r="A132" s="289"/>
      <c r="B132" s="284"/>
      <c r="C132" s="291"/>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x14ac:dyDescent="0.2">
      <c r="A133" s="289"/>
      <c r="B133" s="284"/>
      <c r="C133" s="291"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x14ac:dyDescent="0.2">
      <c r="A134" s="289"/>
      <c r="B134" s="284"/>
      <c r="C134" s="291"/>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x14ac:dyDescent="0.2">
      <c r="A135" s="289"/>
      <c r="B135" s="284"/>
      <c r="C135" s="291" t="s">
        <v>8</v>
      </c>
      <c r="D135" s="27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22.8" customHeight="1" x14ac:dyDescent="0.2">
      <c r="A136" s="289"/>
      <c r="B136" s="284"/>
      <c r="C136" s="291"/>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x14ac:dyDescent="0.2">
      <c r="A137" s="289"/>
      <c r="B137" s="284" t="s">
        <v>87</v>
      </c>
      <c r="C137" s="291" t="s">
        <v>6</v>
      </c>
      <c r="D137" s="27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x14ac:dyDescent="0.2">
      <c r="A138" s="289"/>
      <c r="B138" s="284"/>
      <c r="C138" s="291"/>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x14ac:dyDescent="0.2">
      <c r="A139" s="289"/>
      <c r="B139" s="284"/>
      <c r="C139" s="291"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x14ac:dyDescent="0.2">
      <c r="A140" s="289"/>
      <c r="B140" s="284"/>
      <c r="C140" s="291"/>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x14ac:dyDescent="0.2">
      <c r="A141" s="289"/>
      <c r="B141" s="284"/>
      <c r="C141" s="291"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x14ac:dyDescent="0.2">
      <c r="A142" s="289"/>
      <c r="B142" s="284"/>
      <c r="C142" s="291"/>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x14ac:dyDescent="0.2">
      <c r="A143" s="289"/>
      <c r="B143" s="284" t="s">
        <v>139</v>
      </c>
      <c r="C143" s="25" t="s">
        <v>6</v>
      </c>
      <c r="D143" s="24" t="s">
        <v>135</v>
      </c>
      <c r="E143" s="41">
        <v>5</v>
      </c>
      <c r="F143" s="41">
        <v>5</v>
      </c>
      <c r="G143" s="41">
        <v>5</v>
      </c>
      <c r="H143" s="41">
        <v>5</v>
      </c>
      <c r="I143" s="26"/>
      <c r="J143" s="41">
        <v>20</v>
      </c>
      <c r="K143" s="41">
        <v>5</v>
      </c>
      <c r="L143" s="41">
        <v>5</v>
      </c>
      <c r="M143" s="41">
        <v>5</v>
      </c>
      <c r="N143" s="41">
        <v>5</v>
      </c>
      <c r="O143" s="26"/>
      <c r="P143" s="41">
        <v>20</v>
      </c>
      <c r="Q143" s="41">
        <v>5</v>
      </c>
      <c r="R143" s="41">
        <v>5</v>
      </c>
      <c r="S143" s="41">
        <v>5</v>
      </c>
      <c r="T143" s="41">
        <v>5</v>
      </c>
      <c r="U143" s="26"/>
      <c r="V143" s="41">
        <v>20</v>
      </c>
      <c r="W143" s="41">
        <v>5</v>
      </c>
      <c r="X143" s="41">
        <v>5</v>
      </c>
      <c r="Y143" s="41">
        <v>5</v>
      </c>
      <c r="Z143" s="41">
        <v>5</v>
      </c>
      <c r="AA143" s="26"/>
      <c r="AB143" s="41">
        <v>20</v>
      </c>
      <c r="AC143" s="41">
        <v>5</v>
      </c>
      <c r="AD143" s="41">
        <v>5</v>
      </c>
      <c r="AE143" s="41">
        <v>5</v>
      </c>
      <c r="AF143" s="41">
        <v>5</v>
      </c>
      <c r="AG143" s="26"/>
      <c r="AH143" s="41">
        <v>20</v>
      </c>
    </row>
    <row r="144" spans="1:34" ht="20.399999999999999" x14ac:dyDescent="0.2">
      <c r="A144" s="289"/>
      <c r="B144" s="284"/>
      <c r="C144" s="25" t="s">
        <v>7</v>
      </c>
      <c r="D144" s="24" t="s">
        <v>135</v>
      </c>
      <c r="E144" s="41">
        <v>0</v>
      </c>
      <c r="F144" s="41">
        <v>0</v>
      </c>
      <c r="G144" s="41">
        <v>0</v>
      </c>
      <c r="H144" s="41">
        <v>1</v>
      </c>
      <c r="I144" s="26"/>
      <c r="J144" s="41">
        <v>1</v>
      </c>
      <c r="K144" s="41">
        <v>0</v>
      </c>
      <c r="L144" s="41">
        <v>0</v>
      </c>
      <c r="M144" s="41">
        <v>0</v>
      </c>
      <c r="N144" s="41">
        <v>1</v>
      </c>
      <c r="O144" s="26"/>
      <c r="P144" s="41">
        <v>1</v>
      </c>
      <c r="Q144" s="41">
        <v>0</v>
      </c>
      <c r="R144" s="41">
        <v>0</v>
      </c>
      <c r="S144" s="41">
        <v>0</v>
      </c>
      <c r="T144" s="41">
        <v>1</v>
      </c>
      <c r="U144" s="26"/>
      <c r="V144" s="41">
        <v>1</v>
      </c>
      <c r="W144" s="41">
        <v>0</v>
      </c>
      <c r="X144" s="41">
        <v>0</v>
      </c>
      <c r="Y144" s="41">
        <v>0</v>
      </c>
      <c r="Z144" s="41">
        <v>1</v>
      </c>
      <c r="AA144" s="26"/>
      <c r="AB144" s="41">
        <v>1</v>
      </c>
      <c r="AC144" s="41">
        <v>0</v>
      </c>
      <c r="AD144" s="41">
        <v>0</v>
      </c>
      <c r="AE144" s="41">
        <v>0</v>
      </c>
      <c r="AF144" s="41">
        <v>1</v>
      </c>
      <c r="AG144" s="26"/>
      <c r="AH144" s="41">
        <v>1</v>
      </c>
    </row>
    <row r="145" spans="1:34" ht="20.399999999999999" x14ac:dyDescent="0.2">
      <c r="A145" s="289"/>
      <c r="B145" s="284"/>
      <c r="C145" s="25" t="s">
        <v>8</v>
      </c>
      <c r="D145" s="24" t="s">
        <v>135</v>
      </c>
      <c r="E145" s="41">
        <v>2</v>
      </c>
      <c r="F145" s="41">
        <v>2</v>
      </c>
      <c r="G145" s="41">
        <v>2</v>
      </c>
      <c r="H145" s="41">
        <v>4</v>
      </c>
      <c r="I145" s="26"/>
      <c r="J145" s="41">
        <v>10</v>
      </c>
      <c r="K145" s="41">
        <v>2</v>
      </c>
      <c r="L145" s="41">
        <v>2</v>
      </c>
      <c r="M145" s="41">
        <v>2</v>
      </c>
      <c r="N145" s="41">
        <v>4</v>
      </c>
      <c r="O145" s="26"/>
      <c r="P145" s="41">
        <v>10</v>
      </c>
      <c r="Q145" s="41">
        <v>2</v>
      </c>
      <c r="R145" s="41">
        <v>2</v>
      </c>
      <c r="S145" s="41">
        <v>2</v>
      </c>
      <c r="T145" s="41">
        <v>4</v>
      </c>
      <c r="U145" s="26"/>
      <c r="V145" s="41">
        <v>10</v>
      </c>
      <c r="W145" s="41">
        <v>2</v>
      </c>
      <c r="X145" s="41">
        <v>2</v>
      </c>
      <c r="Y145" s="41">
        <v>2</v>
      </c>
      <c r="Z145" s="41">
        <v>4</v>
      </c>
      <c r="AA145" s="26"/>
      <c r="AB145" s="41">
        <v>10</v>
      </c>
      <c r="AC145" s="41">
        <v>2</v>
      </c>
      <c r="AD145" s="41">
        <v>2</v>
      </c>
      <c r="AE145" s="41">
        <v>2</v>
      </c>
      <c r="AF145" s="41">
        <v>4</v>
      </c>
      <c r="AG145" s="26"/>
      <c r="AH145" s="41">
        <v>10</v>
      </c>
    </row>
    <row r="146" spans="1:34" x14ac:dyDescent="0.2">
      <c r="A146" s="289"/>
      <c r="B146" s="284" t="s">
        <v>140</v>
      </c>
      <c r="C146" s="291"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x14ac:dyDescent="0.2">
      <c r="A147" s="289"/>
      <c r="B147" s="284"/>
      <c r="C147" s="291"/>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x14ac:dyDescent="0.2">
      <c r="A150" s="289"/>
      <c r="B150" s="284"/>
      <c r="C150" s="291"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x14ac:dyDescent="0.2">
      <c r="A151" s="289"/>
      <c r="B151" s="284"/>
      <c r="C151" s="291"/>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448" t="s">
        <v>27</v>
      </c>
      <c r="C152" s="448"/>
      <c r="D152" s="265"/>
      <c r="E152" s="265"/>
      <c r="F152" s="265"/>
      <c r="G152" s="265"/>
      <c r="H152" s="265"/>
      <c r="I152" s="265"/>
      <c r="J152" s="265"/>
      <c r="K152" s="265"/>
      <c r="L152" s="265"/>
      <c r="M152" s="265"/>
      <c r="N152" s="265"/>
      <c r="O152" s="265"/>
      <c r="P152" s="265"/>
      <c r="Q152" s="265"/>
      <c r="R152" s="265"/>
      <c r="S152" s="265"/>
      <c r="T152" s="265"/>
      <c r="U152" s="265"/>
      <c r="V152" s="265"/>
      <c r="W152" s="265"/>
      <c r="X152" s="265"/>
      <c r="Y152" s="265"/>
      <c r="Z152" s="265"/>
      <c r="AA152" s="265"/>
      <c r="AB152" s="265"/>
      <c r="AC152" s="265"/>
      <c r="AD152" s="265"/>
      <c r="AE152" s="265"/>
      <c r="AF152" s="265"/>
      <c r="AG152" s="265"/>
      <c r="AH152" s="265"/>
    </row>
    <row r="153" spans="1:34" x14ac:dyDescent="0.2">
      <c r="A153" s="273"/>
      <c r="B153" s="288" t="s">
        <v>126</v>
      </c>
      <c r="C153" s="291" t="s">
        <v>26</v>
      </c>
      <c r="D153" s="272" t="s">
        <v>78</v>
      </c>
      <c r="E153" s="254">
        <v>5.0000000000000001E-4</v>
      </c>
      <c r="F153" s="254">
        <v>5.0000000000000001E-4</v>
      </c>
      <c r="G153" s="254">
        <v>5.0000000000000001E-4</v>
      </c>
      <c r="H153" s="254">
        <v>5.0000000000000001E-4</v>
      </c>
      <c r="I153" s="29"/>
      <c r="J153" s="254">
        <v>5.0000000000000001E-4</v>
      </c>
      <c r="K153" s="254">
        <v>5.0000000000000001E-4</v>
      </c>
      <c r="L153" s="254">
        <v>5.0000000000000001E-4</v>
      </c>
      <c r="M153" s="254">
        <v>5.0000000000000001E-4</v>
      </c>
      <c r="N153" s="254">
        <v>5.0000000000000001E-4</v>
      </c>
      <c r="O153" s="26"/>
      <c r="P153" s="254">
        <v>5.0000000000000001E-4</v>
      </c>
      <c r="Q153" s="254">
        <v>5.0000000000000001E-4</v>
      </c>
      <c r="R153" s="254">
        <v>5.0000000000000001E-4</v>
      </c>
      <c r="S153" s="254">
        <v>5.0000000000000001E-4</v>
      </c>
      <c r="T153" s="254">
        <v>5.0000000000000001E-4</v>
      </c>
      <c r="U153" s="26"/>
      <c r="V153" s="254">
        <v>5.0000000000000001E-4</v>
      </c>
      <c r="W153" s="254">
        <v>5.0000000000000001E-4</v>
      </c>
      <c r="X153" s="254">
        <v>5.0000000000000001E-4</v>
      </c>
      <c r="Y153" s="254">
        <v>5.0000000000000001E-4</v>
      </c>
      <c r="Z153" s="254">
        <v>5.0000000000000001E-4</v>
      </c>
      <c r="AA153" s="26"/>
      <c r="AB153" s="254">
        <v>5.0000000000000001E-4</v>
      </c>
      <c r="AC153" s="254">
        <v>5.0000000000000001E-4</v>
      </c>
      <c r="AD153" s="254">
        <v>5.0000000000000001E-4</v>
      </c>
      <c r="AE153" s="254">
        <v>5.0000000000000001E-4</v>
      </c>
      <c r="AF153" s="254">
        <v>5.0000000000000001E-4</v>
      </c>
      <c r="AG153" s="26"/>
      <c r="AH153" s="254">
        <v>5.0000000000000001E-4</v>
      </c>
    </row>
    <row r="154" spans="1:34" x14ac:dyDescent="0.2">
      <c r="A154" s="273"/>
      <c r="B154" s="288"/>
      <c r="C154" s="291"/>
      <c r="D154" s="251"/>
      <c r="E154" s="254"/>
      <c r="F154" s="254"/>
      <c r="G154" s="254"/>
      <c r="H154" s="254"/>
      <c r="I154" s="26"/>
      <c r="J154" s="254"/>
      <c r="K154" s="254"/>
      <c r="L154" s="254"/>
      <c r="M154" s="254"/>
      <c r="N154" s="254"/>
      <c r="O154" s="26"/>
      <c r="P154" s="254"/>
      <c r="Q154" s="254"/>
      <c r="R154" s="254"/>
      <c r="S154" s="254"/>
      <c r="T154" s="254"/>
      <c r="U154" s="26"/>
      <c r="V154" s="254"/>
      <c r="W154" s="254"/>
      <c r="X154" s="254"/>
      <c r="Y154" s="254"/>
      <c r="Z154" s="254"/>
      <c r="AA154" s="26"/>
      <c r="AB154" s="254"/>
      <c r="AC154" s="254"/>
      <c r="AD154" s="254"/>
      <c r="AE154" s="254"/>
      <c r="AF154" s="254"/>
      <c r="AG154" s="26"/>
      <c r="AH154" s="254"/>
    </row>
    <row r="155" spans="1:34" x14ac:dyDescent="0.2">
      <c r="A155" s="273"/>
      <c r="B155" s="288"/>
      <c r="C155" s="291"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x14ac:dyDescent="0.2">
      <c r="A156" s="273"/>
      <c r="B156" s="288"/>
      <c r="C156" s="291"/>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x14ac:dyDescent="0.2">
      <c r="A157" s="273"/>
      <c r="B157" s="288"/>
      <c r="C157" s="291"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20.399999999999999" customHeight="1" x14ac:dyDescent="0.2">
      <c r="A158" s="273"/>
      <c r="B158" s="288"/>
      <c r="C158" s="291"/>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x14ac:dyDescent="0.2">
      <c r="A159" s="273"/>
      <c r="B159" s="288" t="s">
        <v>127</v>
      </c>
      <c r="C159" s="291" t="s">
        <v>26</v>
      </c>
      <c r="D159" s="272" t="s">
        <v>78</v>
      </c>
      <c r="E159" s="254">
        <v>5.0000000000000001E-4</v>
      </c>
      <c r="F159" s="254">
        <v>5.0000000000000001E-4</v>
      </c>
      <c r="G159" s="254">
        <v>5.0000000000000001E-4</v>
      </c>
      <c r="H159" s="254">
        <v>5.0000000000000001E-4</v>
      </c>
      <c r="I159" s="26"/>
      <c r="J159" s="254">
        <v>5.0000000000000001E-4</v>
      </c>
      <c r="K159" s="254">
        <v>5.0000000000000001E-4</v>
      </c>
      <c r="L159" s="254">
        <v>5.0000000000000001E-4</v>
      </c>
      <c r="M159" s="254">
        <v>5.0000000000000001E-4</v>
      </c>
      <c r="N159" s="254">
        <v>5.0000000000000001E-4</v>
      </c>
      <c r="O159" s="26"/>
      <c r="P159" s="254">
        <v>5.0000000000000001E-4</v>
      </c>
      <c r="Q159" s="254">
        <v>5.0000000000000001E-4</v>
      </c>
      <c r="R159" s="254">
        <v>5.0000000000000001E-4</v>
      </c>
      <c r="S159" s="254">
        <v>5.0000000000000001E-4</v>
      </c>
      <c r="T159" s="254">
        <v>5.0000000000000001E-4</v>
      </c>
      <c r="U159" s="26"/>
      <c r="V159" s="254">
        <v>5.0000000000000001E-4</v>
      </c>
      <c r="W159" s="254">
        <v>5.0000000000000001E-4</v>
      </c>
      <c r="X159" s="254">
        <v>5.0000000000000001E-4</v>
      </c>
      <c r="Y159" s="254">
        <v>5.0000000000000001E-4</v>
      </c>
      <c r="Z159" s="254">
        <v>5.0000000000000001E-4</v>
      </c>
      <c r="AA159" s="26"/>
      <c r="AB159" s="254">
        <v>5.0000000000000001E-4</v>
      </c>
      <c r="AC159" s="254">
        <v>5.0000000000000001E-4</v>
      </c>
      <c r="AD159" s="254">
        <v>5.0000000000000001E-4</v>
      </c>
      <c r="AE159" s="254">
        <v>5.0000000000000001E-4</v>
      </c>
      <c r="AF159" s="254">
        <v>5.0000000000000001E-4</v>
      </c>
      <c r="AG159" s="26"/>
      <c r="AH159" s="254">
        <v>5.0000000000000001E-4</v>
      </c>
    </row>
    <row r="160" spans="1:34" x14ac:dyDescent="0.2">
      <c r="A160" s="273"/>
      <c r="B160" s="288"/>
      <c r="C160" s="291"/>
      <c r="D160" s="251"/>
      <c r="E160" s="254"/>
      <c r="F160" s="254"/>
      <c r="G160" s="254"/>
      <c r="H160" s="254"/>
      <c r="I160" s="26"/>
      <c r="J160" s="254"/>
      <c r="K160" s="254"/>
      <c r="L160" s="254"/>
      <c r="M160" s="254"/>
      <c r="N160" s="254"/>
      <c r="O160" s="26"/>
      <c r="P160" s="254"/>
      <c r="Q160" s="254"/>
      <c r="R160" s="254"/>
      <c r="S160" s="254"/>
      <c r="T160" s="254"/>
      <c r="U160" s="26"/>
      <c r="V160" s="254"/>
      <c r="W160" s="254"/>
      <c r="X160" s="254"/>
      <c r="Y160" s="254"/>
      <c r="Z160" s="254"/>
      <c r="AA160" s="26"/>
      <c r="AB160" s="254"/>
      <c r="AC160" s="254"/>
      <c r="AD160" s="254"/>
      <c r="AE160" s="254"/>
      <c r="AF160" s="254"/>
      <c r="AG160" s="26"/>
      <c r="AH160" s="254"/>
    </row>
    <row r="161" spans="1:34" x14ac:dyDescent="0.2">
      <c r="A161" s="273"/>
      <c r="B161" s="288"/>
      <c r="C161" s="291"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x14ac:dyDescent="0.2">
      <c r="A162" s="273"/>
      <c r="B162" s="288"/>
      <c r="C162" s="291"/>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x14ac:dyDescent="0.2">
      <c r="A163" s="273"/>
      <c r="B163" s="288"/>
      <c r="C163" s="291"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x14ac:dyDescent="0.2">
      <c r="A164" s="273"/>
      <c r="B164" s="288"/>
      <c r="C164" s="291"/>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x14ac:dyDescent="0.2">
      <c r="A171" s="449"/>
      <c r="B171" s="284"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x14ac:dyDescent="0.2">
      <c r="A172" s="449"/>
      <c r="B172" s="284"/>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x14ac:dyDescent="0.2">
      <c r="A173" s="449"/>
      <c r="B173" s="284"/>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x14ac:dyDescent="0.2">
      <c r="A174" s="449"/>
      <c r="B174" s="284"/>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x14ac:dyDescent="0.2">
      <c r="A175" s="449"/>
      <c r="B175" s="284"/>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x14ac:dyDescent="0.2">
      <c r="A176" s="449"/>
      <c r="B176" s="284"/>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x14ac:dyDescent="0.2">
      <c r="A177" s="449"/>
      <c r="B177" s="284"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x14ac:dyDescent="0.2">
      <c r="A178" s="449"/>
      <c r="B178" s="284"/>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x14ac:dyDescent="0.2">
      <c r="A179" s="449"/>
      <c r="B179" s="284"/>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x14ac:dyDescent="0.2">
      <c r="A180" s="449"/>
      <c r="B180" s="284"/>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x14ac:dyDescent="0.2">
      <c r="A181" s="449"/>
      <c r="B181" s="284"/>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x14ac:dyDescent="0.2">
      <c r="A182" s="449"/>
      <c r="B182" s="284"/>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x14ac:dyDescent="0.2">
      <c r="A183" s="449"/>
      <c r="B183" s="284" t="s">
        <v>89</v>
      </c>
      <c r="C183" s="291" t="s">
        <v>6</v>
      </c>
      <c r="D183" s="272" t="s">
        <v>78</v>
      </c>
      <c r="E183" s="254">
        <v>1E-3</v>
      </c>
      <c r="F183" s="254">
        <v>1E-3</v>
      </c>
      <c r="G183" s="254">
        <v>1E-3</v>
      </c>
      <c r="H183" s="254">
        <v>1E-3</v>
      </c>
      <c r="I183" s="26"/>
      <c r="J183" s="254">
        <v>1E-3</v>
      </c>
      <c r="K183" s="254">
        <v>1E-3</v>
      </c>
      <c r="L183" s="254">
        <v>1E-3</v>
      </c>
      <c r="M183" s="254">
        <v>1E-3</v>
      </c>
      <c r="N183" s="254">
        <v>1E-3</v>
      </c>
      <c r="O183" s="26"/>
      <c r="P183" s="254">
        <v>1E-3</v>
      </c>
      <c r="Q183" s="254">
        <v>1E-3</v>
      </c>
      <c r="R183" s="254">
        <v>1E-3</v>
      </c>
      <c r="S183" s="254">
        <v>1E-3</v>
      </c>
      <c r="T183" s="254">
        <v>1E-3</v>
      </c>
      <c r="U183" s="26"/>
      <c r="V183" s="254">
        <v>1E-3</v>
      </c>
      <c r="W183" s="254">
        <v>1E-3</v>
      </c>
      <c r="X183" s="254">
        <v>1E-3</v>
      </c>
      <c r="Y183" s="254">
        <v>1E-3</v>
      </c>
      <c r="Z183" s="254">
        <v>1E-3</v>
      </c>
      <c r="AA183" s="26"/>
      <c r="AB183" s="254">
        <v>1E-3</v>
      </c>
      <c r="AC183" s="254">
        <v>1E-3</v>
      </c>
      <c r="AD183" s="254">
        <v>1E-3</v>
      </c>
      <c r="AE183" s="254">
        <v>1E-3</v>
      </c>
      <c r="AF183" s="254">
        <v>1E-3</v>
      </c>
      <c r="AG183" s="26"/>
      <c r="AH183" s="254">
        <v>1E-3</v>
      </c>
    </row>
    <row r="184" spans="1:34" x14ac:dyDescent="0.2">
      <c r="A184" s="449"/>
      <c r="B184" s="284"/>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x14ac:dyDescent="0.2">
      <c r="A185" s="449"/>
      <c r="B185" s="284"/>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x14ac:dyDescent="0.2">
      <c r="A186" s="449"/>
      <c r="B186" s="284"/>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x14ac:dyDescent="0.2">
      <c r="A187" s="449"/>
      <c r="B187" s="284"/>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x14ac:dyDescent="0.2">
      <c r="A188" s="449"/>
      <c r="B188" s="284"/>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row>
    <row r="190" spans="1:34"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x14ac:dyDescent="0.2">
      <c r="A195" s="43">
        <v>2.1</v>
      </c>
      <c r="B195" s="264" t="s">
        <v>30</v>
      </c>
      <c r="C195" s="264"/>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x14ac:dyDescent="0.2">
      <c r="A196" s="289"/>
      <c r="B196" s="288" t="s">
        <v>142</v>
      </c>
      <c r="C196" s="288"/>
      <c r="D196" s="273" t="s">
        <v>78</v>
      </c>
      <c r="E196" s="254">
        <v>0.2</v>
      </c>
      <c r="F196" s="254">
        <v>0.2</v>
      </c>
      <c r="G196" s="254">
        <v>0.2</v>
      </c>
      <c r="H196" s="254">
        <v>0.2</v>
      </c>
      <c r="I196" s="45"/>
      <c r="J196" s="254">
        <v>0.2</v>
      </c>
      <c r="K196" s="254">
        <v>0.18</v>
      </c>
      <c r="L196" s="254">
        <v>0.18</v>
      </c>
      <c r="M196" s="254">
        <v>0.18</v>
      </c>
      <c r="N196" s="254">
        <v>0.18</v>
      </c>
      <c r="O196" s="45"/>
      <c r="P196" s="254">
        <v>0.18</v>
      </c>
      <c r="Q196" s="254">
        <v>0.14000000000000001</v>
      </c>
      <c r="R196" s="254">
        <v>0.14000000000000001</v>
      </c>
      <c r="S196" s="254">
        <v>0.14000000000000001</v>
      </c>
      <c r="T196" s="254">
        <v>0.14000000000000001</v>
      </c>
      <c r="U196" s="45"/>
      <c r="V196" s="254">
        <v>0.14000000000000001</v>
      </c>
      <c r="W196" s="254">
        <v>0.1</v>
      </c>
      <c r="X196" s="254">
        <v>0.1</v>
      </c>
      <c r="Y196" s="254">
        <v>0.1</v>
      </c>
      <c r="Z196" s="254">
        <v>0.1</v>
      </c>
      <c r="AA196" s="45"/>
      <c r="AB196" s="254">
        <v>0.1</v>
      </c>
      <c r="AC196" s="254">
        <v>0.06</v>
      </c>
      <c r="AD196" s="254">
        <v>0.06</v>
      </c>
      <c r="AE196" s="254">
        <v>0.06</v>
      </c>
      <c r="AF196" s="254">
        <v>0.06</v>
      </c>
      <c r="AG196" s="29"/>
      <c r="AH196" s="254">
        <v>0.06</v>
      </c>
    </row>
    <row r="197" spans="1:34" x14ac:dyDescent="0.2">
      <c r="A197" s="289"/>
      <c r="B197" s="288"/>
      <c r="C197" s="288"/>
      <c r="D197" s="273"/>
      <c r="E197" s="254"/>
      <c r="F197" s="254"/>
      <c r="G197" s="254"/>
      <c r="H197" s="254"/>
      <c r="I197" s="45"/>
      <c r="J197" s="254"/>
      <c r="K197" s="254">
        <v>0.56999999999999995</v>
      </c>
      <c r="L197" s="254">
        <v>0.56999999999999995</v>
      </c>
      <c r="M197" s="254">
        <v>0.56999999999999995</v>
      </c>
      <c r="N197" s="254">
        <v>0.56999999999999995</v>
      </c>
      <c r="O197" s="45"/>
      <c r="P197" s="254">
        <v>0.56999999999999995</v>
      </c>
      <c r="Q197" s="254">
        <v>0.56999999999999995</v>
      </c>
      <c r="R197" s="254">
        <v>0.56999999999999995</v>
      </c>
      <c r="S197" s="254">
        <v>0.56999999999999995</v>
      </c>
      <c r="T197" s="254">
        <v>0.56999999999999995</v>
      </c>
      <c r="U197" s="45"/>
      <c r="V197" s="254">
        <v>0.56999999999999995</v>
      </c>
      <c r="W197" s="254">
        <v>0.56999999999999995</v>
      </c>
      <c r="X197" s="254">
        <v>0.56999999999999995</v>
      </c>
      <c r="Y197" s="254">
        <v>0.56999999999999995</v>
      </c>
      <c r="Z197" s="254">
        <v>0.56999999999999995</v>
      </c>
      <c r="AA197" s="45"/>
      <c r="AB197" s="254">
        <v>0.56999999999999995</v>
      </c>
      <c r="AC197" s="254">
        <v>0.56999999999999995</v>
      </c>
      <c r="AD197" s="254">
        <v>0.56999999999999995</v>
      </c>
      <c r="AE197" s="254">
        <v>0.56999999999999995</v>
      </c>
      <c r="AF197" s="254">
        <v>0.56999999999999995</v>
      </c>
      <c r="AG197" s="29"/>
      <c r="AH197" s="254">
        <v>0.56999999999999995</v>
      </c>
    </row>
    <row r="198" spans="1:34"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11.576/(11.576+4.995)</f>
        <v>0.6985697905980327</v>
      </c>
      <c r="X198" s="252">
        <f>11.576/(11.576+4.995)</f>
        <v>0.6985697905980327</v>
      </c>
      <c r="Y198" s="252">
        <f>11.576/(11.576+4.995)</f>
        <v>0.6985697905980327</v>
      </c>
      <c r="Z198" s="252">
        <f>11.576/(11.576+4.995)</f>
        <v>0.6985697905980327</v>
      </c>
      <c r="AA198" s="19"/>
      <c r="AB198" s="252">
        <f>11.576/(11.576+4.995)</f>
        <v>0.6985697905980327</v>
      </c>
      <c r="AC198" s="252">
        <v>1</v>
      </c>
      <c r="AD198" s="252">
        <v>1</v>
      </c>
      <c r="AE198" s="252">
        <v>1</v>
      </c>
      <c r="AF198" s="252">
        <v>1</v>
      </c>
      <c r="AG198" s="19"/>
      <c r="AH198" s="252">
        <v>1</v>
      </c>
    </row>
    <row r="199" spans="1:34"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x14ac:dyDescent="0.2">
      <c r="A200" s="289"/>
      <c r="B200" s="296" t="s">
        <v>147</v>
      </c>
      <c r="C200" s="296"/>
      <c r="D200" s="25" t="s">
        <v>100</v>
      </c>
      <c r="E200" s="250">
        <v>0.2</v>
      </c>
      <c r="F200" s="250">
        <v>0.2</v>
      </c>
      <c r="G200" s="250">
        <v>0.2</v>
      </c>
      <c r="H200" s="250">
        <v>0.2</v>
      </c>
      <c r="I200" s="26"/>
      <c r="J200" s="250">
        <v>0.2</v>
      </c>
      <c r="K200" s="250">
        <v>0.2</v>
      </c>
      <c r="L200" s="250">
        <v>0.2</v>
      </c>
      <c r="M200" s="250">
        <v>0.2</v>
      </c>
      <c r="N200" s="250">
        <v>0.2</v>
      </c>
      <c r="O200" s="26"/>
      <c r="P200" s="250">
        <v>0.2</v>
      </c>
      <c r="Q200" s="250">
        <v>0.2</v>
      </c>
      <c r="R200" s="250">
        <v>0.2</v>
      </c>
      <c r="S200" s="250">
        <v>0.2</v>
      </c>
      <c r="T200" s="250">
        <v>0.2</v>
      </c>
      <c r="U200" s="26"/>
      <c r="V200" s="250">
        <v>0.2</v>
      </c>
      <c r="W200" s="250">
        <v>0.2</v>
      </c>
      <c r="X200" s="250">
        <v>0.2</v>
      </c>
      <c r="Y200" s="250">
        <v>0.2</v>
      </c>
      <c r="Z200" s="250">
        <v>0.2</v>
      </c>
      <c r="AA200" s="26"/>
      <c r="AB200" s="250">
        <v>0.2</v>
      </c>
      <c r="AC200" s="250">
        <v>0.2</v>
      </c>
      <c r="AD200" s="250">
        <v>0.2</v>
      </c>
      <c r="AE200" s="250">
        <v>0.2</v>
      </c>
      <c r="AF200" s="250">
        <v>0.2</v>
      </c>
      <c r="AG200" s="26"/>
      <c r="AH200" s="250">
        <v>0.2</v>
      </c>
    </row>
    <row r="201" spans="1:34"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x14ac:dyDescent="0.2">
      <c r="A202" s="289"/>
      <c r="B202" s="284" t="s">
        <v>42</v>
      </c>
      <c r="C202" s="284"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x14ac:dyDescent="0.2">
      <c r="A203" s="289"/>
      <c r="B203" s="284"/>
      <c r="C203" s="284"/>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x14ac:dyDescent="0.2">
      <c r="A204" s="289"/>
      <c r="B204" s="284"/>
      <c r="C204" s="284"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x14ac:dyDescent="0.2">
      <c r="A205" s="289"/>
      <c r="B205" s="284"/>
      <c r="C205" s="284"/>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x14ac:dyDescent="0.2">
      <c r="A206" s="289"/>
      <c r="B206" s="284"/>
      <c r="C206" s="284"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x14ac:dyDescent="0.2">
      <c r="A207" s="289"/>
      <c r="B207" s="284"/>
      <c r="C207" s="284"/>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73" t="s">
        <v>78</v>
      </c>
      <c r="E208" s="249">
        <f>9.206/18</f>
        <v>0.51144444444444437</v>
      </c>
      <c r="F208" s="249">
        <f>9.206/18</f>
        <v>0.51144444444444437</v>
      </c>
      <c r="G208" s="249">
        <f>9.206/18</f>
        <v>0.51144444444444437</v>
      </c>
      <c r="H208" s="249">
        <f>9.206/18</f>
        <v>0.51144444444444437</v>
      </c>
      <c r="I208" s="19"/>
      <c r="J208" s="249">
        <f>9.206/18</f>
        <v>0.51144444444444437</v>
      </c>
      <c r="K208" s="249">
        <f>9.206/18</f>
        <v>0.51144444444444437</v>
      </c>
      <c r="L208" s="249">
        <f>9.206/18</f>
        <v>0.51144444444444437</v>
      </c>
      <c r="M208" s="249">
        <f>9.206/18</f>
        <v>0.51144444444444437</v>
      </c>
      <c r="N208" s="249">
        <f>9.206/18</f>
        <v>0.51144444444444437</v>
      </c>
      <c r="O208" s="19"/>
      <c r="P208" s="249">
        <f>9.206/18</f>
        <v>0.51144444444444437</v>
      </c>
      <c r="Q208" s="249">
        <f>9.206/18</f>
        <v>0.51144444444444437</v>
      </c>
      <c r="R208" s="249">
        <f>9.206/18</f>
        <v>0.51144444444444437</v>
      </c>
      <c r="S208" s="249">
        <f>9.206/18</f>
        <v>0.51144444444444437</v>
      </c>
      <c r="T208" s="249">
        <f>9.206/18</f>
        <v>0.51144444444444437</v>
      </c>
      <c r="U208" s="19"/>
      <c r="V208" s="249">
        <f>9.206/18</f>
        <v>0.51144444444444437</v>
      </c>
      <c r="W208" s="249">
        <f>(9.206+4.995)/18</f>
        <v>0.78894444444444445</v>
      </c>
      <c r="X208" s="249">
        <f>(9.206+4.995)/18</f>
        <v>0.78894444444444445</v>
      </c>
      <c r="Y208" s="249">
        <f>(9.206+4.995)/18</f>
        <v>0.78894444444444445</v>
      </c>
      <c r="Z208" s="249">
        <f>(9.206+4.995)/18</f>
        <v>0.78894444444444445</v>
      </c>
      <c r="AA208" s="19"/>
      <c r="AB208" s="249">
        <f>(9.206+4.995)/18</f>
        <v>0.78894444444444445</v>
      </c>
      <c r="AC208" s="249">
        <f>(9.206+4.995)/18</f>
        <v>0.78894444444444445</v>
      </c>
      <c r="AD208" s="249">
        <f>(9.206+4.995)/18</f>
        <v>0.78894444444444445</v>
      </c>
      <c r="AE208" s="249">
        <f>(9.206+4.995)/18</f>
        <v>0.78894444444444445</v>
      </c>
      <c r="AF208" s="249">
        <f>(9.206+4.995)/18</f>
        <v>0.78894444444444445</v>
      </c>
      <c r="AG208" s="19"/>
      <c r="AH208" s="249">
        <f>(9.206+4.995)/18</f>
        <v>0.78894444444444445</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x14ac:dyDescent="0.2">
      <c r="A210" s="289"/>
      <c r="B210" s="284" t="s">
        <v>131</v>
      </c>
      <c r="C210" s="284"/>
      <c r="D210" s="273" t="s">
        <v>78</v>
      </c>
      <c r="E210" s="249">
        <v>1</v>
      </c>
      <c r="F210" s="249">
        <v>1</v>
      </c>
      <c r="G210" s="249">
        <v>1</v>
      </c>
      <c r="H210" s="249">
        <v>1</v>
      </c>
      <c r="I210" s="19"/>
      <c r="J210" s="249">
        <v>1</v>
      </c>
      <c r="K210" s="249">
        <f>2669/2669</f>
        <v>1</v>
      </c>
      <c r="L210" s="249">
        <f>2669/2669</f>
        <v>1</v>
      </c>
      <c r="M210" s="249">
        <f>2669/2669</f>
        <v>1</v>
      </c>
      <c r="N210" s="249">
        <f>2669/2669</f>
        <v>1</v>
      </c>
      <c r="O210" s="2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x14ac:dyDescent="0.2">
      <c r="A211" s="289"/>
      <c r="B211" s="284"/>
      <c r="C211" s="284"/>
      <c r="D211" s="273"/>
      <c r="E211" s="249"/>
      <c r="F211" s="249"/>
      <c r="G211" s="249"/>
      <c r="H211" s="249"/>
      <c r="I211" s="19"/>
      <c r="J211" s="249"/>
      <c r="K211" s="249"/>
      <c r="L211" s="249"/>
      <c r="M211" s="249"/>
      <c r="N211" s="249"/>
      <c r="O211" s="29"/>
      <c r="P211" s="249"/>
      <c r="Q211" s="249"/>
      <c r="R211" s="249"/>
      <c r="S211" s="249"/>
      <c r="T211" s="249"/>
      <c r="U211" s="19"/>
      <c r="V211" s="249"/>
      <c r="W211" s="249"/>
      <c r="X211" s="249"/>
      <c r="Y211" s="249"/>
      <c r="Z211" s="249"/>
      <c r="AA211" s="19"/>
      <c r="AB211" s="249"/>
      <c r="AC211" s="249"/>
      <c r="AD211" s="249"/>
      <c r="AE211" s="249"/>
      <c r="AF211" s="249"/>
      <c r="AG211" s="19"/>
      <c r="AH211" s="249"/>
    </row>
    <row r="212" spans="1:34" x14ac:dyDescent="0.2">
      <c r="A212" s="17">
        <v>2.2000000000000002</v>
      </c>
      <c r="B212" s="443" t="s">
        <v>33</v>
      </c>
      <c r="C212" s="444"/>
      <c r="D212" s="280"/>
      <c r="E212" s="280"/>
      <c r="F212" s="280"/>
      <c r="G212" s="280"/>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445"/>
    </row>
    <row r="213" spans="1:34" x14ac:dyDescent="0.2">
      <c r="A213" s="289"/>
      <c r="B213" s="284" t="s">
        <v>43</v>
      </c>
      <c r="C213" s="284"/>
      <c r="D213" s="273" t="s">
        <v>78</v>
      </c>
      <c r="E213" s="249">
        <v>0</v>
      </c>
      <c r="F213" s="249">
        <v>0</v>
      </c>
      <c r="G213" s="249">
        <v>0</v>
      </c>
      <c r="H213" s="249">
        <v>0</v>
      </c>
      <c r="I213" s="19"/>
      <c r="J213" s="249">
        <v>0</v>
      </c>
      <c r="K213" s="249">
        <v>0</v>
      </c>
      <c r="L213" s="249">
        <v>0</v>
      </c>
      <c r="M213" s="249">
        <v>0</v>
      </c>
      <c r="N213" s="249">
        <v>0.46</v>
      </c>
      <c r="O213" s="19"/>
      <c r="P213" s="249">
        <v>0.46</v>
      </c>
      <c r="Q213" s="249">
        <v>0.46</v>
      </c>
      <c r="R213" s="249">
        <v>1.46</v>
      </c>
      <c r="S213" s="249">
        <v>2.46</v>
      </c>
      <c r="T213" s="249">
        <v>3.46</v>
      </c>
      <c r="U213" s="19"/>
      <c r="V213" s="249">
        <v>0.46</v>
      </c>
      <c r="W213" s="249">
        <f>8.366/18</f>
        <v>0.46477777777777773</v>
      </c>
      <c r="X213" s="249">
        <v>0.46</v>
      </c>
      <c r="Y213" s="249">
        <v>0.46</v>
      </c>
      <c r="Z213" s="249">
        <v>0.46</v>
      </c>
      <c r="AA213" s="19"/>
      <c r="AB213" s="249">
        <v>0.46</v>
      </c>
      <c r="AC213" s="249">
        <v>0.46</v>
      </c>
      <c r="AD213" s="249">
        <v>1.46</v>
      </c>
      <c r="AE213" s="249">
        <v>2.46</v>
      </c>
      <c r="AF213" s="249">
        <v>3.46</v>
      </c>
      <c r="AG213" s="19"/>
      <c r="AH213" s="249">
        <v>0.46</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x14ac:dyDescent="0.2">
      <c r="A215" s="289"/>
      <c r="B215" s="284" t="s">
        <v>44</v>
      </c>
      <c r="C215" s="284"/>
      <c r="D215" s="273" t="s">
        <v>78</v>
      </c>
      <c r="E215" s="249">
        <v>0</v>
      </c>
      <c r="F215" s="249">
        <v>0</v>
      </c>
      <c r="G215" s="249">
        <v>0</v>
      </c>
      <c r="H215" s="249">
        <v>0</v>
      </c>
      <c r="I215" s="19"/>
      <c r="J215" s="249">
        <v>0</v>
      </c>
      <c r="K215" s="249">
        <v>0</v>
      </c>
      <c r="L215" s="249">
        <v>0</v>
      </c>
      <c r="M215" s="249">
        <v>0</v>
      </c>
      <c r="N215" s="249">
        <v>1</v>
      </c>
      <c r="O215" s="19"/>
      <c r="P215" s="249">
        <v>1</v>
      </c>
      <c r="Q215" s="249">
        <v>1</v>
      </c>
      <c r="R215" s="249">
        <v>1</v>
      </c>
      <c r="S215" s="249">
        <v>1</v>
      </c>
      <c r="T215" s="249">
        <v>1</v>
      </c>
      <c r="U215" s="19"/>
      <c r="V215" s="249">
        <v>1</v>
      </c>
      <c r="W215" s="249">
        <v>1</v>
      </c>
      <c r="X215" s="249">
        <v>1</v>
      </c>
      <c r="Y215" s="249">
        <v>1</v>
      </c>
      <c r="Z215" s="249">
        <v>1</v>
      </c>
      <c r="AA215" s="19"/>
      <c r="AB215" s="249">
        <v>1</v>
      </c>
      <c r="AC215" s="249">
        <v>1</v>
      </c>
      <c r="AD215" s="249">
        <v>1</v>
      </c>
      <c r="AE215" s="249">
        <v>1</v>
      </c>
      <c r="AF215" s="249">
        <v>1</v>
      </c>
      <c r="AG215" s="19"/>
      <c r="AH215" s="249">
        <v>1</v>
      </c>
    </row>
    <row r="216" spans="1:34"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x14ac:dyDescent="0.2">
      <c r="A217" s="289"/>
      <c r="B217" s="284" t="s">
        <v>153</v>
      </c>
      <c r="C217" s="284"/>
      <c r="D217" s="25" t="s">
        <v>100</v>
      </c>
      <c r="E217" s="250">
        <v>0</v>
      </c>
      <c r="F217" s="250">
        <v>0</v>
      </c>
      <c r="G217" s="250">
        <v>0</v>
      </c>
      <c r="H217" s="250">
        <v>0</v>
      </c>
      <c r="I217" s="26"/>
      <c r="J217" s="250">
        <v>0</v>
      </c>
      <c r="K217" s="250">
        <v>0</v>
      </c>
      <c r="L217" s="250">
        <v>0</v>
      </c>
      <c r="M217" s="250">
        <v>0</v>
      </c>
      <c r="N217" s="250">
        <v>0.3</v>
      </c>
      <c r="O217" s="26"/>
      <c r="P217" s="250">
        <v>0.3</v>
      </c>
      <c r="Q217" s="250">
        <v>0.3</v>
      </c>
      <c r="R217" s="250">
        <v>0.3</v>
      </c>
      <c r="S217" s="250">
        <v>0.3</v>
      </c>
      <c r="T217" s="250">
        <v>0.3</v>
      </c>
      <c r="U217" s="26"/>
      <c r="V217" s="250">
        <v>0</v>
      </c>
      <c r="W217" s="250">
        <v>0.3</v>
      </c>
      <c r="X217" s="250">
        <v>0.3</v>
      </c>
      <c r="Y217" s="250">
        <v>0.3</v>
      </c>
      <c r="Z217" s="250">
        <v>0.3</v>
      </c>
      <c r="AA217" s="26"/>
      <c r="AB217" s="250">
        <v>0.3</v>
      </c>
      <c r="AC217" s="250">
        <v>0.3</v>
      </c>
      <c r="AD217" s="250">
        <v>0.3</v>
      </c>
      <c r="AE217" s="250">
        <v>0.3</v>
      </c>
      <c r="AF217" s="250">
        <v>0.3</v>
      </c>
      <c r="AG217" s="26"/>
      <c r="AH217" s="250">
        <v>0.3</v>
      </c>
    </row>
    <row r="218" spans="1:34"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0"/>
      <c r="F219" s="40"/>
      <c r="G219" s="40"/>
      <c r="H219" s="40"/>
      <c r="I219" s="40"/>
      <c r="J219" s="40"/>
      <c r="K219" s="40"/>
      <c r="L219" s="40"/>
      <c r="M219" s="40"/>
      <c r="N219" s="40"/>
      <c r="O219" s="40"/>
      <c r="P219" s="40"/>
      <c r="Q219" s="40"/>
      <c r="R219" s="48"/>
      <c r="S219" s="48"/>
      <c r="T219" s="48"/>
      <c r="U219" s="40"/>
      <c r="V219" s="40"/>
      <c r="W219" s="40"/>
      <c r="X219" s="40"/>
      <c r="Y219" s="40"/>
      <c r="Z219" s="40"/>
      <c r="AA219" s="40"/>
      <c r="AB219" s="40"/>
      <c r="AC219" s="40"/>
      <c r="AD219" s="48"/>
      <c r="AE219" s="48"/>
      <c r="AF219" s="48"/>
      <c r="AG219" s="40"/>
      <c r="AH219" s="40"/>
    </row>
    <row r="220" spans="1:34" x14ac:dyDescent="0.2">
      <c r="A220" s="17" t="s">
        <v>34</v>
      </c>
      <c r="B220" s="42"/>
      <c r="C220" s="42"/>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2"/>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x14ac:dyDescent="0.2">
      <c r="A222" s="290"/>
      <c r="B222" s="293" t="s">
        <v>38</v>
      </c>
      <c r="C222" s="292"/>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x14ac:dyDescent="0.2">
      <c r="A223" s="290"/>
      <c r="B223" s="293"/>
      <c r="C223" s="292"/>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18">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5"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5" x14ac:dyDescent="0.2">
      <c r="A226" s="289"/>
      <c r="B226" s="284" t="s">
        <v>45</v>
      </c>
      <c r="C226" s="284"/>
      <c r="D226" s="25" t="s">
        <v>101</v>
      </c>
      <c r="E226" s="23">
        <v>699</v>
      </c>
      <c r="F226" s="23">
        <v>703</v>
      </c>
      <c r="G226" s="23">
        <v>706</v>
      </c>
      <c r="H226" s="23">
        <v>710</v>
      </c>
      <c r="I226" s="41"/>
      <c r="J226" s="41">
        <v>710</v>
      </c>
      <c r="K226" s="23">
        <v>714</v>
      </c>
      <c r="L226" s="23">
        <v>718</v>
      </c>
      <c r="M226" s="23">
        <v>721</v>
      </c>
      <c r="N226" s="23">
        <v>725</v>
      </c>
      <c r="O226" s="41"/>
      <c r="P226" s="41">
        <v>725</v>
      </c>
      <c r="Q226" s="23">
        <v>731</v>
      </c>
      <c r="R226" s="23">
        <v>738</v>
      </c>
      <c r="S226" s="23">
        <v>744</v>
      </c>
      <c r="T226" s="23">
        <v>750</v>
      </c>
      <c r="U226" s="23"/>
      <c r="V226" s="41">
        <v>750</v>
      </c>
      <c r="W226" s="23">
        <v>763</v>
      </c>
      <c r="X226" s="23">
        <v>777</v>
      </c>
      <c r="Y226" s="23">
        <v>790</v>
      </c>
      <c r="Z226" s="23">
        <v>803</v>
      </c>
      <c r="AA226" s="41"/>
      <c r="AB226" s="85">
        <v>803</v>
      </c>
      <c r="AC226" s="23">
        <v>801</v>
      </c>
      <c r="AD226" s="23">
        <v>802</v>
      </c>
      <c r="AE226" s="23">
        <v>802</v>
      </c>
      <c r="AF226" s="23">
        <v>803</v>
      </c>
      <c r="AG226" s="41"/>
      <c r="AH226" s="85">
        <v>803</v>
      </c>
    </row>
    <row r="227" spans="1:35" x14ac:dyDescent="0.2">
      <c r="A227" s="289"/>
      <c r="B227" s="284"/>
      <c r="C227" s="284"/>
      <c r="D227" s="25" t="s">
        <v>32</v>
      </c>
      <c r="E227" s="26">
        <v>9.2059999999999995</v>
      </c>
      <c r="F227" s="26">
        <v>9.2059999999999995</v>
      </c>
      <c r="G227" s="26">
        <v>9.2059999999999995</v>
      </c>
      <c r="H227" s="26">
        <v>9.2059999999999995</v>
      </c>
      <c r="I227" s="26"/>
      <c r="J227" s="26">
        <v>9.2059999999999995</v>
      </c>
      <c r="K227" s="26">
        <v>9.2059999999999995</v>
      </c>
      <c r="L227" s="26">
        <v>9.2059999999999995</v>
      </c>
      <c r="M227" s="26">
        <v>9.2059999999999995</v>
      </c>
      <c r="N227" s="26">
        <v>9.2059999999999995</v>
      </c>
      <c r="O227" s="26"/>
      <c r="P227" s="26">
        <v>9.2059999999999995</v>
      </c>
      <c r="Q227" s="26">
        <v>9.2059999999999995</v>
      </c>
      <c r="R227" s="26">
        <v>9.2059999999999995</v>
      </c>
      <c r="S227" s="26">
        <v>9.2059999999999995</v>
      </c>
      <c r="T227" s="26">
        <v>9.2059999999999995</v>
      </c>
      <c r="U227" s="44"/>
      <c r="V227" s="26">
        <v>9.2059999999999995</v>
      </c>
      <c r="W227" s="58">
        <f>9.206+4.995</f>
        <v>14.201000000000001</v>
      </c>
      <c r="X227" s="58">
        <f>9.206+4.995</f>
        <v>14.201000000000001</v>
      </c>
      <c r="Y227" s="58">
        <f>9.206+4.995</f>
        <v>14.201000000000001</v>
      </c>
      <c r="Z227" s="58">
        <f>9.206+4.995</f>
        <v>14.201000000000001</v>
      </c>
      <c r="AA227" s="26"/>
      <c r="AB227" s="58">
        <f>9.206+4.995</f>
        <v>14.201000000000001</v>
      </c>
      <c r="AC227" s="58">
        <f>9.206+4.995</f>
        <v>14.201000000000001</v>
      </c>
      <c r="AD227" s="58">
        <f>9.206+4.995</f>
        <v>14.201000000000001</v>
      </c>
      <c r="AE227" s="58">
        <f>9.206+4.995</f>
        <v>14.201000000000001</v>
      </c>
      <c r="AF227" s="58">
        <f>9.206+4.995</f>
        <v>14.201000000000001</v>
      </c>
      <c r="AG227" s="26"/>
      <c r="AH227" s="58">
        <f>85.45+21.14</f>
        <v>106.59</v>
      </c>
      <c r="AI227" s="11">
        <f>J229/J235</f>
        <v>0.78201151971643779</v>
      </c>
    </row>
    <row r="228" spans="1:35" x14ac:dyDescent="0.2">
      <c r="A228" s="289"/>
      <c r="B228" s="284" t="s">
        <v>46</v>
      </c>
      <c r="C228" s="284"/>
      <c r="D228" s="25" t="s">
        <v>32</v>
      </c>
      <c r="E228" s="26">
        <v>9.2059999999999995</v>
      </c>
      <c r="F228" s="26">
        <v>9.2059999999999995</v>
      </c>
      <c r="G228" s="26">
        <v>9.2059999999999995</v>
      </c>
      <c r="H228" s="26">
        <v>9.2059999999999995</v>
      </c>
      <c r="I228" s="26"/>
      <c r="J228" s="26">
        <v>9.2059999999999995</v>
      </c>
      <c r="K228" s="26">
        <v>9.2059999999999995</v>
      </c>
      <c r="L228" s="26">
        <v>9.2059999999999995</v>
      </c>
      <c r="M228" s="26">
        <v>9.2059999999999995</v>
      </c>
      <c r="N228" s="26">
        <v>9.2059999999999995</v>
      </c>
      <c r="O228" s="26"/>
      <c r="P228" s="26">
        <v>9.2059999999999995</v>
      </c>
      <c r="Q228" s="26">
        <v>9.2059999999999995</v>
      </c>
      <c r="R228" s="26">
        <v>9.2059999999999995</v>
      </c>
      <c r="S228" s="26">
        <v>9.2059999999999995</v>
      </c>
      <c r="T228" s="26">
        <v>9.2059999999999995</v>
      </c>
      <c r="U228" s="44"/>
      <c r="V228" s="26">
        <v>9.2059999999999995</v>
      </c>
      <c r="W228" s="58">
        <v>14.2</v>
      </c>
      <c r="X228" s="58">
        <v>14.2</v>
      </c>
      <c r="Y228" s="58">
        <v>14.2</v>
      </c>
      <c r="Z228" s="58">
        <v>14.2</v>
      </c>
      <c r="AA228" s="26"/>
      <c r="AB228" s="58">
        <v>14.2</v>
      </c>
      <c r="AC228" s="58">
        <v>14.2</v>
      </c>
      <c r="AD228" s="58">
        <v>14.2</v>
      </c>
      <c r="AE228" s="58">
        <v>14.2</v>
      </c>
      <c r="AF228" s="58">
        <v>14.2</v>
      </c>
      <c r="AG228" s="26"/>
      <c r="AH228" s="58">
        <f>85.45+21.14</f>
        <v>106.59</v>
      </c>
    </row>
    <row r="229" spans="1:35" x14ac:dyDescent="0.2">
      <c r="A229" s="289"/>
      <c r="B229" s="284"/>
      <c r="C229" s="284"/>
      <c r="D229" s="25" t="s">
        <v>143</v>
      </c>
      <c r="E229" s="24">
        <v>1761</v>
      </c>
      <c r="F229" s="24">
        <v>1762</v>
      </c>
      <c r="G229" s="24">
        <v>1764</v>
      </c>
      <c r="H229" s="24">
        <v>1765</v>
      </c>
      <c r="I229" s="41"/>
      <c r="J229" s="41">
        <v>1765</v>
      </c>
      <c r="K229" s="24">
        <v>1780</v>
      </c>
      <c r="L229" s="24">
        <v>1785</v>
      </c>
      <c r="M229" s="24">
        <v>1790</v>
      </c>
      <c r="N229" s="24">
        <v>1800</v>
      </c>
      <c r="O229" s="41"/>
      <c r="P229" s="41">
        <v>1800</v>
      </c>
      <c r="Q229" s="24">
        <v>1850</v>
      </c>
      <c r="R229" s="24">
        <v>1890</v>
      </c>
      <c r="S229" s="24">
        <v>1910</v>
      </c>
      <c r="T229" s="24">
        <v>1969</v>
      </c>
      <c r="U229" s="24"/>
      <c r="V229" s="41">
        <v>1969.45</v>
      </c>
      <c r="W229" s="24">
        <v>1980</v>
      </c>
      <c r="X229" s="24">
        <v>1999</v>
      </c>
      <c r="Y229" s="24">
        <v>2100</v>
      </c>
      <c r="Z229" s="24">
        <v>2112</v>
      </c>
      <c r="AA229" s="41"/>
      <c r="AB229" s="41">
        <v>2112.3000000000002</v>
      </c>
      <c r="AC229" s="51">
        <v>2177.8807499999998</v>
      </c>
      <c r="AD229" s="51">
        <v>2243.4614999999999</v>
      </c>
      <c r="AE229" s="51">
        <v>2375</v>
      </c>
      <c r="AF229" s="51">
        <v>2374.623</v>
      </c>
      <c r="AG229" s="41"/>
      <c r="AH229" s="41">
        <v>2374.623</v>
      </c>
    </row>
    <row r="230" spans="1:35" x14ac:dyDescent="0.2">
      <c r="A230" s="289"/>
      <c r="B230" s="284" t="s">
        <v>47</v>
      </c>
      <c r="C230" s="284"/>
      <c r="D230" s="25" t="s">
        <v>32</v>
      </c>
      <c r="E230" s="26">
        <v>11.576000000000001</v>
      </c>
      <c r="F230" s="26">
        <v>11.576000000000001</v>
      </c>
      <c r="G230" s="26">
        <v>11.576000000000001</v>
      </c>
      <c r="H230" s="26">
        <v>11.576000000000001</v>
      </c>
      <c r="I230" s="41"/>
      <c r="J230" s="26">
        <v>11.576000000000001</v>
      </c>
      <c r="K230" s="26">
        <v>11.576000000000001</v>
      </c>
      <c r="L230" s="26">
        <v>11.576000000000001</v>
      </c>
      <c r="M230" s="26">
        <v>11.576000000000001</v>
      </c>
      <c r="N230" s="26">
        <v>11.576000000000001</v>
      </c>
      <c r="O230" s="41"/>
      <c r="P230" s="26">
        <v>11.576000000000001</v>
      </c>
      <c r="Q230" s="26">
        <v>11.576000000000001</v>
      </c>
      <c r="R230" s="26">
        <v>11.576000000000001</v>
      </c>
      <c r="S230" s="26">
        <v>11.576000000000001</v>
      </c>
      <c r="T230" s="26">
        <v>11.576000000000001</v>
      </c>
      <c r="U230" s="24"/>
      <c r="V230" s="26">
        <v>11.576000000000001</v>
      </c>
      <c r="W230" s="26">
        <f>11.576+4.995</f>
        <v>16.571000000000002</v>
      </c>
      <c r="X230" s="26">
        <f>11.576+4.995</f>
        <v>16.571000000000002</v>
      </c>
      <c r="Y230" s="26">
        <f>11.576+4.995</f>
        <v>16.571000000000002</v>
      </c>
      <c r="Z230" s="26">
        <f>11.576+4.995</f>
        <v>16.571000000000002</v>
      </c>
      <c r="AA230" s="41"/>
      <c r="AB230" s="26">
        <f>11.576+4.995</f>
        <v>16.571000000000002</v>
      </c>
      <c r="AC230" s="26">
        <f>11.576+4.995</f>
        <v>16.571000000000002</v>
      </c>
      <c r="AD230" s="26">
        <f>11.576+4.995</f>
        <v>16.571000000000002</v>
      </c>
      <c r="AE230" s="26">
        <f>11.576+4.995</f>
        <v>16.571000000000002</v>
      </c>
      <c r="AF230" s="26">
        <f>11.576+4.995</f>
        <v>16.571000000000002</v>
      </c>
      <c r="AG230" s="41"/>
      <c r="AH230" s="26">
        <v>16.57</v>
      </c>
    </row>
    <row r="231" spans="1:35" x14ac:dyDescent="0.2">
      <c r="A231" s="289"/>
      <c r="B231" s="284"/>
      <c r="C231" s="284"/>
      <c r="D231" s="25" t="s">
        <v>143</v>
      </c>
      <c r="E231" s="24">
        <v>1761</v>
      </c>
      <c r="F231" s="24">
        <v>1762</v>
      </c>
      <c r="G231" s="24">
        <v>1764</v>
      </c>
      <c r="H231" s="24">
        <v>1765</v>
      </c>
      <c r="I231" s="41"/>
      <c r="J231" s="41">
        <v>1765</v>
      </c>
      <c r="K231" s="24">
        <v>1780</v>
      </c>
      <c r="L231" s="24">
        <v>1785</v>
      </c>
      <c r="M231" s="24">
        <v>1790</v>
      </c>
      <c r="N231" s="24">
        <v>1800</v>
      </c>
      <c r="O231" s="41"/>
      <c r="P231" s="41">
        <v>1800</v>
      </c>
      <c r="Q231" s="24">
        <v>1850</v>
      </c>
      <c r="R231" s="24">
        <v>1890</v>
      </c>
      <c r="S231" s="24">
        <v>1910</v>
      </c>
      <c r="T231" s="24">
        <v>1969</v>
      </c>
      <c r="U231" s="24"/>
      <c r="V231" s="41">
        <v>1969.45</v>
      </c>
      <c r="W231" s="24">
        <v>1980</v>
      </c>
      <c r="X231" s="24">
        <v>1999</v>
      </c>
      <c r="Y231" s="24">
        <v>2100</v>
      </c>
      <c r="Z231" s="24">
        <v>2112</v>
      </c>
      <c r="AA231" s="41"/>
      <c r="AB231" s="41">
        <v>2112.3000000000002</v>
      </c>
      <c r="AC231" s="51">
        <v>2177.8807499999998</v>
      </c>
      <c r="AD231" s="51">
        <v>2243.4614999999999</v>
      </c>
      <c r="AE231" s="51">
        <v>2375</v>
      </c>
      <c r="AF231" s="51">
        <v>2374.623</v>
      </c>
      <c r="AG231" s="41"/>
      <c r="AH231" s="41">
        <v>2374.623</v>
      </c>
    </row>
    <row r="232" spans="1:35" x14ac:dyDescent="0.2">
      <c r="A232" s="289"/>
      <c r="B232" s="284" t="s">
        <v>36</v>
      </c>
      <c r="C232" s="284"/>
      <c r="D232" s="25" t="s">
        <v>144</v>
      </c>
      <c r="E232" s="23">
        <v>0</v>
      </c>
      <c r="F232" s="23">
        <v>0</v>
      </c>
      <c r="G232" s="23">
        <v>0</v>
      </c>
      <c r="H232" s="23">
        <v>0</v>
      </c>
      <c r="I232" s="41"/>
      <c r="J232" s="41">
        <v>0</v>
      </c>
      <c r="K232" s="41">
        <v>0</v>
      </c>
      <c r="L232" s="41">
        <v>0</v>
      </c>
      <c r="M232" s="41">
        <v>0</v>
      </c>
      <c r="N232" s="41">
        <v>130</v>
      </c>
      <c r="O232" s="41"/>
      <c r="P232" s="41">
        <f>J232+130</f>
        <v>130</v>
      </c>
      <c r="Q232" s="23">
        <v>150</v>
      </c>
      <c r="R232" s="23">
        <v>190</v>
      </c>
      <c r="S232" s="23">
        <v>210</v>
      </c>
      <c r="T232" s="23">
        <v>260</v>
      </c>
      <c r="U232" s="41"/>
      <c r="V232" s="41">
        <f>P232+130</f>
        <v>260</v>
      </c>
      <c r="W232" s="23"/>
      <c r="X232" s="23"/>
      <c r="Y232" s="23"/>
      <c r="Z232" s="23"/>
      <c r="AA232" s="41"/>
      <c r="AB232" s="41">
        <f>V232+250</f>
        <v>510</v>
      </c>
      <c r="AC232" s="23"/>
      <c r="AD232" s="23"/>
      <c r="AE232" s="23"/>
      <c r="AF232" s="23"/>
      <c r="AG232" s="41"/>
      <c r="AH232" s="41">
        <f>AB232</f>
        <v>510</v>
      </c>
    </row>
    <row r="233" spans="1:35" x14ac:dyDescent="0.2">
      <c r="A233" s="289"/>
      <c r="B233" s="284"/>
      <c r="C233" s="284"/>
      <c r="D233" s="25" t="s">
        <v>32</v>
      </c>
      <c r="E233" s="23">
        <v>0</v>
      </c>
      <c r="F233" s="23">
        <v>0</v>
      </c>
      <c r="G233" s="23">
        <v>0</v>
      </c>
      <c r="H233" s="23">
        <v>0</v>
      </c>
      <c r="I233" s="41"/>
      <c r="J233" s="41">
        <v>0</v>
      </c>
      <c r="K233" s="23">
        <v>0</v>
      </c>
      <c r="L233" s="23">
        <v>0</v>
      </c>
      <c r="M233" s="23">
        <v>0</v>
      </c>
      <c r="N233" s="23">
        <v>8.33</v>
      </c>
      <c r="O233" s="41"/>
      <c r="P233" s="26">
        <v>8.33</v>
      </c>
      <c r="Q233" s="26">
        <v>8.33</v>
      </c>
      <c r="R233" s="26">
        <v>8.33</v>
      </c>
      <c r="S233" s="26">
        <v>8.33</v>
      </c>
      <c r="T233" s="26">
        <v>8.33</v>
      </c>
      <c r="U233" s="41"/>
      <c r="V233" s="26">
        <v>8.33</v>
      </c>
      <c r="W233" s="26">
        <v>8.33</v>
      </c>
      <c r="X233" s="26">
        <v>8.33</v>
      </c>
      <c r="Y233" s="26">
        <v>8.33</v>
      </c>
      <c r="Z233" s="26">
        <v>8.33</v>
      </c>
      <c r="AA233" s="41"/>
      <c r="AB233" s="26">
        <v>8.33</v>
      </c>
      <c r="AC233" s="26">
        <v>8.33</v>
      </c>
      <c r="AD233" s="26">
        <v>8.33</v>
      </c>
      <c r="AE233" s="26">
        <v>8.33</v>
      </c>
      <c r="AF233" s="26">
        <v>8.33</v>
      </c>
      <c r="AG233" s="41"/>
      <c r="AH233" s="26">
        <v>8.33</v>
      </c>
    </row>
    <row r="234" spans="1:35" x14ac:dyDescent="0.2">
      <c r="A234" s="289"/>
      <c r="B234" s="284" t="s">
        <v>48</v>
      </c>
      <c r="C234" s="284"/>
      <c r="D234" s="24" t="s">
        <v>143</v>
      </c>
      <c r="E234" s="41">
        <v>0</v>
      </c>
      <c r="F234" s="41">
        <v>0</v>
      </c>
      <c r="G234" s="41">
        <v>0</v>
      </c>
      <c r="H234" s="41">
        <v>0</v>
      </c>
      <c r="I234" s="41"/>
      <c r="J234" s="41">
        <v>0</v>
      </c>
      <c r="K234" s="41">
        <v>1173</v>
      </c>
      <c r="L234" s="41">
        <v>1173</v>
      </c>
      <c r="M234" s="41">
        <v>1173</v>
      </c>
      <c r="N234" s="41">
        <v>1173</v>
      </c>
      <c r="O234" s="41"/>
      <c r="P234" s="41">
        <v>1173</v>
      </c>
      <c r="Q234" s="19">
        <v>1280</v>
      </c>
      <c r="R234" s="19">
        <v>1280</v>
      </c>
      <c r="S234" s="19">
        <v>1280</v>
      </c>
      <c r="T234" s="19">
        <v>1280</v>
      </c>
      <c r="U234" s="41"/>
      <c r="V234" s="41">
        <v>1280</v>
      </c>
      <c r="W234" s="41">
        <v>1310</v>
      </c>
      <c r="X234" s="41">
        <v>1310</v>
      </c>
      <c r="Y234" s="41">
        <v>1310</v>
      </c>
      <c r="Z234" s="41">
        <v>1310</v>
      </c>
      <c r="AA234" s="41"/>
      <c r="AB234" s="41">
        <v>1310</v>
      </c>
      <c r="AC234" s="19">
        <v>1380</v>
      </c>
      <c r="AD234" s="19">
        <v>1380</v>
      </c>
      <c r="AE234" s="19">
        <v>1380</v>
      </c>
      <c r="AF234" s="19">
        <v>1380</v>
      </c>
      <c r="AG234" s="41"/>
      <c r="AH234" s="41">
        <v>1380</v>
      </c>
      <c r="AI234" s="11">
        <f>AH234/AH235</f>
        <v>0.58056373580143039</v>
      </c>
    </row>
    <row r="235" spans="1:35" x14ac:dyDescent="0.2">
      <c r="A235" s="289"/>
      <c r="B235" s="284"/>
      <c r="C235" s="284"/>
      <c r="D235" s="24" t="s">
        <v>143</v>
      </c>
      <c r="E235" s="41">
        <v>2257</v>
      </c>
      <c r="F235" s="41">
        <v>2257</v>
      </c>
      <c r="G235" s="41">
        <v>2257</v>
      </c>
      <c r="H235" s="41">
        <v>2257</v>
      </c>
      <c r="I235" s="41"/>
      <c r="J235" s="41">
        <v>2257</v>
      </c>
      <c r="K235" s="23">
        <v>2287</v>
      </c>
      <c r="L235" s="23">
        <v>2287</v>
      </c>
      <c r="M235" s="23">
        <v>2287</v>
      </c>
      <c r="N235" s="23">
        <v>2287</v>
      </c>
      <c r="O235" s="41"/>
      <c r="P235" s="41">
        <f>J235+30</f>
        <v>2287</v>
      </c>
      <c r="Q235" s="23">
        <v>2317</v>
      </c>
      <c r="R235" s="23">
        <v>2317</v>
      </c>
      <c r="S235" s="23">
        <v>2317</v>
      </c>
      <c r="T235" s="23">
        <v>2317</v>
      </c>
      <c r="U235" s="41"/>
      <c r="V235" s="41">
        <f>P235+30</f>
        <v>2317</v>
      </c>
      <c r="W235" s="23">
        <v>2347</v>
      </c>
      <c r="X235" s="23">
        <v>2347</v>
      </c>
      <c r="Y235" s="23">
        <v>2347</v>
      </c>
      <c r="Z235" s="23">
        <v>2347</v>
      </c>
      <c r="AA235" s="41"/>
      <c r="AB235" s="41">
        <f>V235+30</f>
        <v>2347</v>
      </c>
      <c r="AC235" s="41">
        <f>W235+30</f>
        <v>2377</v>
      </c>
      <c r="AD235" s="41">
        <f>X235+30</f>
        <v>2377</v>
      </c>
      <c r="AE235" s="41">
        <f>Y235+30</f>
        <v>2377</v>
      </c>
      <c r="AF235" s="41">
        <f>Z235+30</f>
        <v>2377</v>
      </c>
      <c r="AG235" s="41"/>
      <c r="AH235" s="41">
        <f>AB235+30</f>
        <v>2377</v>
      </c>
    </row>
    <row r="236" spans="1:35" x14ac:dyDescent="0.2">
      <c r="A236" s="17">
        <v>3.2</v>
      </c>
      <c r="B236" s="300" t="s">
        <v>37</v>
      </c>
      <c r="C236" s="446"/>
      <c r="D236" s="275"/>
      <c r="E236" s="275"/>
      <c r="F236" s="275"/>
      <c r="G236" s="275"/>
      <c r="H236" s="275"/>
      <c r="I236" s="275"/>
      <c r="J236" s="275"/>
      <c r="K236" s="275"/>
      <c r="L236" s="275"/>
      <c r="M236" s="275"/>
      <c r="N236" s="275"/>
      <c r="O236" s="275"/>
      <c r="P236" s="275"/>
      <c r="Q236" s="275"/>
      <c r="R236" s="275"/>
      <c r="S236" s="275"/>
      <c r="T236" s="275"/>
      <c r="U236" s="275"/>
      <c r="V236" s="275"/>
      <c r="W236" s="275"/>
      <c r="X236" s="275"/>
      <c r="Y236" s="275"/>
      <c r="Z236" s="275"/>
      <c r="AA236" s="275"/>
      <c r="AB236" s="275"/>
      <c r="AC236" s="275"/>
      <c r="AD236" s="275"/>
      <c r="AE236" s="275"/>
      <c r="AF236" s="275"/>
      <c r="AG236" s="275"/>
      <c r="AH236" s="447"/>
    </row>
    <row r="237" spans="1:35" x14ac:dyDescent="0.2">
      <c r="A237" s="283"/>
      <c r="B237" s="284" t="s">
        <v>102</v>
      </c>
      <c r="C237" s="52"/>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5" x14ac:dyDescent="0.2">
      <c r="A238" s="265"/>
      <c r="B238" s="285"/>
      <c r="C238" s="42"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5" x14ac:dyDescent="0.2">
      <c r="A239" s="265"/>
      <c r="B239" s="285"/>
      <c r="C239" s="286" t="s">
        <v>7</v>
      </c>
      <c r="D239" s="273" t="s">
        <v>78</v>
      </c>
      <c r="E239" s="252">
        <v>0.01</v>
      </c>
      <c r="F239" s="252">
        <v>0.01</v>
      </c>
      <c r="G239" s="252">
        <v>0.01</v>
      </c>
      <c r="H239" s="252">
        <v>0.01</v>
      </c>
      <c r="I239" s="45"/>
      <c r="J239" s="252">
        <v>0.01</v>
      </c>
      <c r="K239" s="252">
        <v>0.01</v>
      </c>
      <c r="L239" s="252">
        <v>0.01</v>
      </c>
      <c r="M239" s="252">
        <v>0.01</v>
      </c>
      <c r="N239" s="252">
        <v>0.01</v>
      </c>
      <c r="O239" s="45"/>
      <c r="P239" s="252">
        <v>0.01</v>
      </c>
      <c r="Q239" s="252">
        <v>0.01</v>
      </c>
      <c r="R239" s="252">
        <v>0.01</v>
      </c>
      <c r="S239" s="252">
        <v>0.01</v>
      </c>
      <c r="T239" s="252">
        <v>0.01</v>
      </c>
      <c r="U239" s="45"/>
      <c r="V239" s="252">
        <v>0.01</v>
      </c>
      <c r="W239" s="252">
        <v>0.01</v>
      </c>
      <c r="X239" s="252">
        <v>0.01</v>
      </c>
      <c r="Y239" s="252">
        <v>0.01</v>
      </c>
      <c r="Z239" s="252">
        <v>0.01</v>
      </c>
      <c r="AA239" s="45"/>
      <c r="AB239" s="252">
        <v>0.01</v>
      </c>
      <c r="AC239" s="252">
        <v>0.01</v>
      </c>
      <c r="AD239" s="252">
        <v>0.01</v>
      </c>
      <c r="AE239" s="252">
        <v>0.01</v>
      </c>
      <c r="AF239" s="252">
        <v>0.01</v>
      </c>
      <c r="AG239" s="45"/>
      <c r="AH239" s="252">
        <v>0.01</v>
      </c>
    </row>
    <row r="240" spans="1:35"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x14ac:dyDescent="0.2">
      <c r="A241" s="265"/>
      <c r="B241" s="285"/>
      <c r="C241" s="286" t="s">
        <v>8</v>
      </c>
      <c r="D241" s="273" t="s">
        <v>78</v>
      </c>
      <c r="E241" s="252">
        <v>0.01</v>
      </c>
      <c r="F241" s="252">
        <v>0.01</v>
      </c>
      <c r="G241" s="252">
        <v>0.01</v>
      </c>
      <c r="H241" s="252">
        <v>0.01</v>
      </c>
      <c r="I241" s="45"/>
      <c r="J241" s="252">
        <v>0.01</v>
      </c>
      <c r="K241" s="252">
        <v>0.01</v>
      </c>
      <c r="L241" s="252">
        <v>0.01</v>
      </c>
      <c r="M241" s="252">
        <v>0.01</v>
      </c>
      <c r="N241" s="252">
        <v>0.01</v>
      </c>
      <c r="O241" s="45"/>
      <c r="P241" s="252">
        <v>0.01</v>
      </c>
      <c r="Q241" s="252">
        <v>0.01</v>
      </c>
      <c r="R241" s="252">
        <v>0.01</v>
      </c>
      <c r="S241" s="252">
        <v>0.01</v>
      </c>
      <c r="T241" s="252">
        <v>0.01</v>
      </c>
      <c r="U241" s="45"/>
      <c r="V241" s="252">
        <v>0.01</v>
      </c>
      <c r="W241" s="252">
        <v>0.01</v>
      </c>
      <c r="X241" s="252">
        <v>0.01</v>
      </c>
      <c r="Y241" s="252">
        <v>0.01</v>
      </c>
      <c r="Z241" s="252">
        <v>0.01</v>
      </c>
      <c r="AA241" s="45"/>
      <c r="AB241" s="252">
        <v>0.01</v>
      </c>
      <c r="AC241" s="252">
        <v>0.01</v>
      </c>
      <c r="AD241" s="252">
        <v>0.01</v>
      </c>
      <c r="AE241" s="252">
        <v>0.01</v>
      </c>
      <c r="AF241" s="252">
        <v>0.01</v>
      </c>
      <c r="AG241" s="45"/>
      <c r="AH241" s="252">
        <v>0.01</v>
      </c>
    </row>
    <row r="242" spans="1:34"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x14ac:dyDescent="0.2">
      <c r="A243" s="265"/>
      <c r="B243" s="288" t="s">
        <v>103</v>
      </c>
      <c r="C243" s="286"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23.4" customHeight="1" x14ac:dyDescent="0.2">
      <c r="A244" s="265"/>
      <c r="B244" s="288"/>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x14ac:dyDescent="0.2">
      <c r="A245" s="265"/>
      <c r="B245" s="288"/>
      <c r="C245" s="286"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x14ac:dyDescent="0.2">
      <c r="A246" s="265"/>
      <c r="B246" s="288"/>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x14ac:dyDescent="0.2">
      <c r="A247" s="265"/>
      <c r="B247" s="288"/>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26.4" customHeight="1" x14ac:dyDescent="0.2">
      <c r="A248" s="265"/>
      <c r="B248" s="288"/>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x14ac:dyDescent="0.2">
      <c r="A249" s="265"/>
      <c r="B249" s="284" t="s">
        <v>49</v>
      </c>
      <c r="C249" s="284"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39" customHeight="1" x14ac:dyDescent="0.2">
      <c r="A250" s="265"/>
      <c r="B250" s="284"/>
      <c r="C250" s="284"/>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x14ac:dyDescent="0.2">
      <c r="A251" s="265"/>
      <c r="B251" s="284"/>
      <c r="C251" s="284" t="s">
        <v>7</v>
      </c>
      <c r="D251" s="273" t="s">
        <v>78</v>
      </c>
      <c r="E251" s="252">
        <v>0.02</v>
      </c>
      <c r="F251" s="252">
        <v>0.02</v>
      </c>
      <c r="G251" s="252">
        <v>0.02</v>
      </c>
      <c r="H251" s="252">
        <v>0.02</v>
      </c>
      <c r="I251" s="45"/>
      <c r="J251" s="252">
        <v>0.02</v>
      </c>
      <c r="K251" s="252">
        <v>0.02</v>
      </c>
      <c r="L251" s="252">
        <v>0.02</v>
      </c>
      <c r="M251" s="252">
        <v>0.02</v>
      </c>
      <c r="N251" s="252">
        <v>0.02</v>
      </c>
      <c r="O251" s="45"/>
      <c r="P251" s="252">
        <v>0.02</v>
      </c>
      <c r="Q251" s="252">
        <v>0.02</v>
      </c>
      <c r="R251" s="252">
        <v>0.02</v>
      </c>
      <c r="S251" s="252">
        <v>0.02</v>
      </c>
      <c r="T251" s="252">
        <v>0.02</v>
      </c>
      <c r="U251" s="45"/>
      <c r="V251" s="252">
        <v>0.02</v>
      </c>
      <c r="W251" s="252">
        <v>0.02</v>
      </c>
      <c r="X251" s="252">
        <v>0.02</v>
      </c>
      <c r="Y251" s="252">
        <v>0.02</v>
      </c>
      <c r="Z251" s="252">
        <v>0.02</v>
      </c>
      <c r="AA251" s="45"/>
      <c r="AB251" s="252">
        <v>0.02</v>
      </c>
      <c r="AC251" s="252">
        <v>0.02</v>
      </c>
      <c r="AD251" s="252">
        <v>0.02</v>
      </c>
      <c r="AE251" s="252">
        <v>0.02</v>
      </c>
      <c r="AF251" s="252">
        <v>0.02</v>
      </c>
      <c r="AG251" s="45"/>
      <c r="AH251" s="252">
        <v>0.02</v>
      </c>
    </row>
    <row r="252" spans="1:34" x14ac:dyDescent="0.2">
      <c r="A252" s="265"/>
      <c r="B252" s="284"/>
      <c r="C252" s="284"/>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x14ac:dyDescent="0.2">
      <c r="A253" s="265"/>
      <c r="B253" s="284"/>
      <c r="C253" s="284" t="s">
        <v>8</v>
      </c>
      <c r="D253" s="273" t="s">
        <v>78</v>
      </c>
      <c r="E253" s="252">
        <v>0.04</v>
      </c>
      <c r="F253" s="252">
        <v>0.04</v>
      </c>
      <c r="G253" s="252">
        <v>0.04</v>
      </c>
      <c r="H253" s="252">
        <v>0.04</v>
      </c>
      <c r="I253" s="45"/>
      <c r="J253" s="252">
        <v>0.04</v>
      </c>
      <c r="K253" s="252">
        <v>0.04</v>
      </c>
      <c r="L253" s="252">
        <v>0.04</v>
      </c>
      <c r="M253" s="252">
        <v>0.04</v>
      </c>
      <c r="N253" s="252">
        <v>0.04</v>
      </c>
      <c r="O253" s="45"/>
      <c r="P253" s="252">
        <v>0.04</v>
      </c>
      <c r="Q253" s="252">
        <v>0.04</v>
      </c>
      <c r="R253" s="252">
        <v>0.04</v>
      </c>
      <c r="S253" s="252">
        <v>0.04</v>
      </c>
      <c r="T253" s="252">
        <v>0.04</v>
      </c>
      <c r="U253" s="45"/>
      <c r="V253" s="252">
        <v>0.04</v>
      </c>
      <c r="W253" s="252">
        <v>0.04</v>
      </c>
      <c r="X253" s="252">
        <v>0.04</v>
      </c>
      <c r="Y253" s="252">
        <v>0.04</v>
      </c>
      <c r="Z253" s="252">
        <v>0.04</v>
      </c>
      <c r="AA253" s="45"/>
      <c r="AB253" s="252">
        <v>0.04</v>
      </c>
      <c r="AC253" s="252">
        <v>0.04</v>
      </c>
      <c r="AD253" s="252">
        <v>0.04</v>
      </c>
      <c r="AE253" s="252">
        <v>0.04</v>
      </c>
      <c r="AF253" s="252">
        <v>0.04</v>
      </c>
      <c r="AG253" s="45"/>
      <c r="AH253" s="252">
        <v>0.04</v>
      </c>
    </row>
    <row r="254" spans="1:34" ht="28.8" customHeight="1" x14ac:dyDescent="0.2">
      <c r="A254" s="265"/>
      <c r="B254" s="284"/>
      <c r="C254" s="284"/>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5" spans="1:34" ht="10.8" thickBot="1" x14ac:dyDescent="0.25">
      <c r="V255" s="164"/>
    </row>
    <row r="256" spans="1:34" x14ac:dyDescent="0.2">
      <c r="D256" s="9"/>
    </row>
  </sheetData>
  <mergeCells count="2885">
    <mergeCell ref="A2:L2"/>
    <mergeCell ref="A8:P8"/>
    <mergeCell ref="A4:C4"/>
    <mergeCell ref="Y5:Y6"/>
    <mergeCell ref="A6:B6"/>
    <mergeCell ref="A3:H3"/>
    <mergeCell ref="B108:AH108"/>
    <mergeCell ref="B81:AH81"/>
    <mergeCell ref="B80:AH80"/>
    <mergeCell ref="B58:AH58"/>
    <mergeCell ref="B39:AH39"/>
    <mergeCell ref="K10:P10"/>
    <mergeCell ref="Q10:V10"/>
    <mergeCell ref="W10:AA10"/>
    <mergeCell ref="B10:B12"/>
    <mergeCell ref="C10:C12"/>
    <mergeCell ref="AC10:AG10"/>
    <mergeCell ref="E11:J11"/>
    <mergeCell ref="K11:O11"/>
    <mergeCell ref="Q11:U11"/>
    <mergeCell ref="W11:AA11"/>
    <mergeCell ref="AC11:AG11"/>
    <mergeCell ref="E10:I10"/>
    <mergeCell ref="A15:A38"/>
    <mergeCell ref="B15:B20"/>
    <mergeCell ref="C15:C16"/>
    <mergeCell ref="C31:C32"/>
    <mergeCell ref="D15:D16"/>
    <mergeCell ref="I15:I16"/>
    <mergeCell ref="C17:C18"/>
    <mergeCell ref="D17:D18"/>
    <mergeCell ref="I17:I18"/>
    <mergeCell ref="C19:C20"/>
    <mergeCell ref="O15:O16"/>
    <mergeCell ref="P15:P16"/>
    <mergeCell ref="V15:V16"/>
    <mergeCell ref="AB15:AB16"/>
    <mergeCell ref="AH15:AH16"/>
    <mergeCell ref="N15:N16"/>
    <mergeCell ref="Q15:Q16"/>
    <mergeCell ref="R15:R16"/>
    <mergeCell ref="S15:S16"/>
    <mergeCell ref="O17:O18"/>
    <mergeCell ref="P17:P18"/>
    <mergeCell ref="V17:V18"/>
    <mergeCell ref="AB17:AB18"/>
    <mergeCell ref="AH17:AH18"/>
    <mergeCell ref="M17:M18"/>
    <mergeCell ref="N17:N18"/>
    <mergeCell ref="Q17:Q18"/>
    <mergeCell ref="R17:R18"/>
    <mergeCell ref="I19:I20"/>
    <mergeCell ref="J19:J20"/>
    <mergeCell ref="O19:O20"/>
    <mergeCell ref="P19:P20"/>
    <mergeCell ref="V19:V20"/>
    <mergeCell ref="R19:R20"/>
    <mergeCell ref="S19:S20"/>
    <mergeCell ref="T19:T20"/>
    <mergeCell ref="U19:U20"/>
    <mergeCell ref="AH19:AH20"/>
    <mergeCell ref="H17:H18"/>
    <mergeCell ref="K17:K18"/>
    <mergeCell ref="L17:L18"/>
    <mergeCell ref="B21:B26"/>
    <mergeCell ref="C21:C22"/>
    <mergeCell ref="D21:D22"/>
    <mergeCell ref="I21:I22"/>
    <mergeCell ref="J21:J22"/>
    <mergeCell ref="O21:O22"/>
    <mergeCell ref="P21:P22"/>
    <mergeCell ref="V21:V22"/>
    <mergeCell ref="D19:D20"/>
    <mergeCell ref="AB21:AB22"/>
    <mergeCell ref="AH21:AH22"/>
    <mergeCell ref="C23:C24"/>
    <mergeCell ref="D23:D24"/>
    <mergeCell ref="I23:I24"/>
    <mergeCell ref="J23:J24"/>
    <mergeCell ref="O23:O24"/>
    <mergeCell ref="P23:P24"/>
    <mergeCell ref="V23:V24"/>
    <mergeCell ref="AB23:AB24"/>
    <mergeCell ref="AH23:AH24"/>
    <mergeCell ref="C25:C26"/>
    <mergeCell ref="D25:D26"/>
    <mergeCell ref="I25:I26"/>
    <mergeCell ref="J25:J26"/>
    <mergeCell ref="O25:O26"/>
    <mergeCell ref="P25:P26"/>
    <mergeCell ref="V25:V26"/>
    <mergeCell ref="AB25:AB26"/>
    <mergeCell ref="AH25:AH26"/>
    <mergeCell ref="AF19:AF20"/>
    <mergeCell ref="AG19:AG20"/>
    <mergeCell ref="E21:E22"/>
    <mergeCell ref="B27:B32"/>
    <mergeCell ref="C27:C28"/>
    <mergeCell ref="D27:D28"/>
    <mergeCell ref="I27:I28"/>
    <mergeCell ref="J27:J28"/>
    <mergeCell ref="O27:O28"/>
    <mergeCell ref="L27:L28"/>
    <mergeCell ref="M27:M28"/>
    <mergeCell ref="N27:N28"/>
    <mergeCell ref="N29:N30"/>
    <mergeCell ref="P27:P28"/>
    <mergeCell ref="V27:V28"/>
    <mergeCell ref="AB27:AB28"/>
    <mergeCell ref="AH27:AH28"/>
    <mergeCell ref="C29:C30"/>
    <mergeCell ref="D29:D30"/>
    <mergeCell ref="I29:I30"/>
    <mergeCell ref="J29:J30"/>
    <mergeCell ref="O29:O30"/>
    <mergeCell ref="P29:P30"/>
    <mergeCell ref="AH29:AH30"/>
    <mergeCell ref="D31:D32"/>
    <mergeCell ref="I31:I32"/>
    <mergeCell ref="J31:J32"/>
    <mergeCell ref="O31:O32"/>
    <mergeCell ref="P31:P32"/>
    <mergeCell ref="V31:V32"/>
    <mergeCell ref="AB31:AB32"/>
    <mergeCell ref="AH31:AH32"/>
    <mergeCell ref="E29:E30"/>
    <mergeCell ref="F29:F30"/>
    <mergeCell ref="G29:G30"/>
    <mergeCell ref="B33:B38"/>
    <mergeCell ref="C33:C34"/>
    <mergeCell ref="D33:D34"/>
    <mergeCell ref="I33:I34"/>
    <mergeCell ref="J33:J34"/>
    <mergeCell ref="O33:O34"/>
    <mergeCell ref="P33:P34"/>
    <mergeCell ref="V33:V34"/>
    <mergeCell ref="AB33:AB34"/>
    <mergeCell ref="C35:C36"/>
    <mergeCell ref="D35:D36"/>
    <mergeCell ref="I35:I36"/>
    <mergeCell ref="J35:J36"/>
    <mergeCell ref="O35:O36"/>
    <mergeCell ref="P35:P36"/>
    <mergeCell ref="L35:L36"/>
    <mergeCell ref="M35:M36"/>
    <mergeCell ref="N35:N36"/>
    <mergeCell ref="D37:D38"/>
    <mergeCell ref="J37:J38"/>
    <mergeCell ref="O37:O38"/>
    <mergeCell ref="P37:P38"/>
    <mergeCell ref="V37:V38"/>
    <mergeCell ref="E33:E34"/>
    <mergeCell ref="F33:F34"/>
    <mergeCell ref="G33:G34"/>
    <mergeCell ref="H33:H34"/>
    <mergeCell ref="K33:K34"/>
    <mergeCell ref="L33:L34"/>
    <mergeCell ref="M33:M34"/>
    <mergeCell ref="N33:N34"/>
    <mergeCell ref="Q33:Q34"/>
    <mergeCell ref="AH33:AH34"/>
    <mergeCell ref="V35:V36"/>
    <mergeCell ref="AB35:AB36"/>
    <mergeCell ref="AH35:AH36"/>
    <mergeCell ref="AB37:AB38"/>
    <mergeCell ref="AH37:AH38"/>
    <mergeCell ref="A40:A51"/>
    <mergeCell ref="B40:B45"/>
    <mergeCell ref="C40:C41"/>
    <mergeCell ref="D40:D41"/>
    <mergeCell ref="I40:I41"/>
    <mergeCell ref="J40:J41"/>
    <mergeCell ref="P40:P41"/>
    <mergeCell ref="C37:C38"/>
    <mergeCell ref="V40:V41"/>
    <mergeCell ref="AB40:AB41"/>
    <mergeCell ref="AH40:AH41"/>
    <mergeCell ref="C42:C43"/>
    <mergeCell ref="D42:D43"/>
    <mergeCell ref="I42:I43"/>
    <mergeCell ref="J42:J43"/>
    <mergeCell ref="P42:P43"/>
    <mergeCell ref="V42:V43"/>
    <mergeCell ref="AB42:AB43"/>
    <mergeCell ref="AH42:AH43"/>
    <mergeCell ref="C44:C45"/>
    <mergeCell ref="D44:D45"/>
    <mergeCell ref="I44:I45"/>
    <mergeCell ref="J44:J45"/>
    <mergeCell ref="P44:P45"/>
    <mergeCell ref="V44:V45"/>
    <mergeCell ref="K44:K45"/>
    <mergeCell ref="L44:L45"/>
    <mergeCell ref="M44:M45"/>
    <mergeCell ref="N44:N45"/>
    <mergeCell ref="AB44:AB45"/>
    <mergeCell ref="AH44:AH45"/>
    <mergeCell ref="B46:B51"/>
    <mergeCell ref="C46:C47"/>
    <mergeCell ref="D46:D47"/>
    <mergeCell ref="I46:I47"/>
    <mergeCell ref="J46:J47"/>
    <mergeCell ref="P46:P47"/>
    <mergeCell ref="V46:V47"/>
    <mergeCell ref="AB46:AB47"/>
    <mergeCell ref="AH46:AH47"/>
    <mergeCell ref="C48:C49"/>
    <mergeCell ref="D48:D49"/>
    <mergeCell ref="I48:I49"/>
    <mergeCell ref="J48:J49"/>
    <mergeCell ref="P48:P49"/>
    <mergeCell ref="V48:V49"/>
    <mergeCell ref="AB48:AB49"/>
    <mergeCell ref="AH48:AH49"/>
    <mergeCell ref="E46:E47"/>
    <mergeCell ref="C50:C51"/>
    <mergeCell ref="D50:D51"/>
    <mergeCell ref="I50:I51"/>
    <mergeCell ref="J50:J51"/>
    <mergeCell ref="P50:P51"/>
    <mergeCell ref="V50:V51"/>
    <mergeCell ref="E50:E51"/>
    <mergeCell ref="F50:F51"/>
    <mergeCell ref="G50:G51"/>
    <mergeCell ref="H50:H51"/>
    <mergeCell ref="AB50:AB51"/>
    <mergeCell ref="AH50:AH51"/>
    <mergeCell ref="A52:A57"/>
    <mergeCell ref="B52:B57"/>
    <mergeCell ref="C52:C53"/>
    <mergeCell ref="D52:D53"/>
    <mergeCell ref="I52:I53"/>
    <mergeCell ref="J52:J53"/>
    <mergeCell ref="P52:P53"/>
    <mergeCell ref="V52:V53"/>
    <mergeCell ref="AB52:AB53"/>
    <mergeCell ref="AH52:AH53"/>
    <mergeCell ref="C54:C55"/>
    <mergeCell ref="D54:D55"/>
    <mergeCell ref="I54:I55"/>
    <mergeCell ref="J54:J55"/>
    <mergeCell ref="P54:P55"/>
    <mergeCell ref="V54:V55"/>
    <mergeCell ref="AB54:AB55"/>
    <mergeCell ref="AH54:AH55"/>
    <mergeCell ref="C56:C57"/>
    <mergeCell ref="D56:D57"/>
    <mergeCell ref="I56:I57"/>
    <mergeCell ref="J56:J57"/>
    <mergeCell ref="P56:P57"/>
    <mergeCell ref="V56:V57"/>
    <mergeCell ref="E56:E57"/>
    <mergeCell ref="F56:F57"/>
    <mergeCell ref="G56:G57"/>
    <mergeCell ref="H56:H57"/>
    <mergeCell ref="AB56:AB57"/>
    <mergeCell ref="AH56:AH57"/>
    <mergeCell ref="A59:A72"/>
    <mergeCell ref="B59:C60"/>
    <mergeCell ref="D59:D60"/>
    <mergeCell ref="I59:I60"/>
    <mergeCell ref="J59:J60"/>
    <mergeCell ref="B65:C66"/>
    <mergeCell ref="D65:D66"/>
    <mergeCell ref="J65:J66"/>
    <mergeCell ref="B71:C72"/>
    <mergeCell ref="P59:P60"/>
    <mergeCell ref="V59:V60"/>
    <mergeCell ref="AB59:AB60"/>
    <mergeCell ref="AH59:AH60"/>
    <mergeCell ref="B61:C62"/>
    <mergeCell ref="D61:D62"/>
    <mergeCell ref="I61:I62"/>
    <mergeCell ref="J61:J62"/>
    <mergeCell ref="P61:P62"/>
    <mergeCell ref="V61:V62"/>
    <mergeCell ref="AB61:AB62"/>
    <mergeCell ref="AH61:AH62"/>
    <mergeCell ref="B63:C64"/>
    <mergeCell ref="D63:D64"/>
    <mergeCell ref="J63:J64"/>
    <mergeCell ref="P63:P64"/>
    <mergeCell ref="V63:V64"/>
    <mergeCell ref="AB63:AB64"/>
    <mergeCell ref="AH63:AH64"/>
    <mergeCell ref="P65:P66"/>
    <mergeCell ref="V65:V66"/>
    <mergeCell ref="AB65:AB66"/>
    <mergeCell ref="AH65:AH66"/>
    <mergeCell ref="B67:C68"/>
    <mergeCell ref="D67:D68"/>
    <mergeCell ref="J67:J68"/>
    <mergeCell ref="P67:P68"/>
    <mergeCell ref="V67:V68"/>
    <mergeCell ref="AB67:AB68"/>
    <mergeCell ref="AH67:AH68"/>
    <mergeCell ref="B69:C70"/>
    <mergeCell ref="D69:D70"/>
    <mergeCell ref="J69:J70"/>
    <mergeCell ref="P69:P70"/>
    <mergeCell ref="V69:V70"/>
    <mergeCell ref="AB69:AB70"/>
    <mergeCell ref="AH69:AH70"/>
    <mergeCell ref="E69:E70"/>
    <mergeCell ref="F69:F70"/>
    <mergeCell ref="Q69:Q70"/>
    <mergeCell ref="R69:R70"/>
    <mergeCell ref="S69:S70"/>
    <mergeCell ref="T69:T70"/>
    <mergeCell ref="W69:W70"/>
    <mergeCell ref="X69:X70"/>
    <mergeCell ref="Y69:Y70"/>
    <mergeCell ref="Z69:Z70"/>
    <mergeCell ref="AC69:AC70"/>
    <mergeCell ref="AD69:AD70"/>
    <mergeCell ref="AE69:AE70"/>
    <mergeCell ref="AF69:AF70"/>
    <mergeCell ref="D74:D75"/>
    <mergeCell ref="J74:J75"/>
    <mergeCell ref="P74:P75"/>
    <mergeCell ref="B73:AH73"/>
    <mergeCell ref="D71:D72"/>
    <mergeCell ref="J71:J72"/>
    <mergeCell ref="P71:P72"/>
    <mergeCell ref="V71:V72"/>
    <mergeCell ref="AB71:AB72"/>
    <mergeCell ref="AH71:AH72"/>
    <mergeCell ref="V74:V75"/>
    <mergeCell ref="AB74:AB75"/>
    <mergeCell ref="AH74:AH75"/>
    <mergeCell ref="B76:C76"/>
    <mergeCell ref="B77:C77"/>
    <mergeCell ref="B78:C79"/>
    <mergeCell ref="J78:J79"/>
    <mergeCell ref="P78:P79"/>
    <mergeCell ref="V78:V79"/>
    <mergeCell ref="AB78:AB79"/>
    <mergeCell ref="AH78:AH79"/>
    <mergeCell ref="D78:D79"/>
    <mergeCell ref="Q71:Q72"/>
    <mergeCell ref="R71:R72"/>
    <mergeCell ref="S71:S72"/>
    <mergeCell ref="T71:T72"/>
    <mergeCell ref="W71:W72"/>
    <mergeCell ref="X71:X72"/>
    <mergeCell ref="Y71:Y72"/>
    <mergeCell ref="Z71:Z72"/>
    <mergeCell ref="AC71:AC72"/>
    <mergeCell ref="AD71:AD72"/>
    <mergeCell ref="A82:A107"/>
    <mergeCell ref="B83:B88"/>
    <mergeCell ref="C83:C84"/>
    <mergeCell ref="J83:J84"/>
    <mergeCell ref="P83:P84"/>
    <mergeCell ref="V83:V84"/>
    <mergeCell ref="A74:A79"/>
    <mergeCell ref="B74:C75"/>
    <mergeCell ref="AB83:AB84"/>
    <mergeCell ref="AH83:AH84"/>
    <mergeCell ref="D83:D84"/>
    <mergeCell ref="C85:C86"/>
    <mergeCell ref="J85:J86"/>
    <mergeCell ref="P85:P86"/>
    <mergeCell ref="V85:V86"/>
    <mergeCell ref="AB85:AB86"/>
    <mergeCell ref="AH85:AH86"/>
    <mergeCell ref="D85:D86"/>
    <mergeCell ref="AB87:AB88"/>
    <mergeCell ref="AH87:AH88"/>
    <mergeCell ref="C87:C88"/>
    <mergeCell ref="D87:D88"/>
    <mergeCell ref="J87:J88"/>
    <mergeCell ref="P87:P88"/>
    <mergeCell ref="V87:V88"/>
    <mergeCell ref="E87:E88"/>
    <mergeCell ref="F87:F88"/>
    <mergeCell ref="G87:G88"/>
    <mergeCell ref="J89:J90"/>
    <mergeCell ref="P89:P90"/>
    <mergeCell ref="V89:V90"/>
    <mergeCell ref="AB89:AB90"/>
    <mergeCell ref="AH89:AH90"/>
    <mergeCell ref="C91:C92"/>
    <mergeCell ref="AH91:AH92"/>
    <mergeCell ref="Q91:Q92"/>
    <mergeCell ref="R91:R92"/>
    <mergeCell ref="S91:S92"/>
    <mergeCell ref="V93:V94"/>
    <mergeCell ref="AB93:AB94"/>
    <mergeCell ref="J91:J92"/>
    <mergeCell ref="P91:P92"/>
    <mergeCell ref="V91:V92"/>
    <mergeCell ref="AB91:AB92"/>
    <mergeCell ref="M91:M92"/>
    <mergeCell ref="N91:N92"/>
    <mergeCell ref="K93:K94"/>
    <mergeCell ref="L93:L94"/>
    <mergeCell ref="AH93:AH94"/>
    <mergeCell ref="W93:W94"/>
    <mergeCell ref="X93:X94"/>
    <mergeCell ref="Y93:Y94"/>
    <mergeCell ref="Z93:Z94"/>
    <mergeCell ref="B95:C95"/>
    <mergeCell ref="B89:B94"/>
    <mergeCell ref="C89:C90"/>
    <mergeCell ref="D89:D90"/>
    <mergeCell ref="D91:D92"/>
    <mergeCell ref="D93:D94"/>
    <mergeCell ref="C93:C94"/>
    <mergeCell ref="J93:J94"/>
    <mergeCell ref="P93:P94"/>
    <mergeCell ref="B96:B101"/>
    <mergeCell ref="C96:C97"/>
    <mergeCell ref="D96:D97"/>
    <mergeCell ref="J96:J97"/>
    <mergeCell ref="P96:P97"/>
    <mergeCell ref="V96:V97"/>
    <mergeCell ref="C100:C101"/>
    <mergeCell ref="D100:D101"/>
    <mergeCell ref="J100:J101"/>
    <mergeCell ref="P100:P101"/>
    <mergeCell ref="E98:E99"/>
    <mergeCell ref="F98:F99"/>
    <mergeCell ref="G98:G99"/>
    <mergeCell ref="H98:H99"/>
    <mergeCell ref="E100:E101"/>
    <mergeCell ref="F100:F101"/>
    <mergeCell ref="G100:G101"/>
    <mergeCell ref="H100:H101"/>
    <mergeCell ref="AB96:AB97"/>
    <mergeCell ref="AH96:AH97"/>
    <mergeCell ref="C98:C99"/>
    <mergeCell ref="D98:D99"/>
    <mergeCell ref="J98:J99"/>
    <mergeCell ref="P98:P99"/>
    <mergeCell ref="V98:V99"/>
    <mergeCell ref="AB98:AB99"/>
    <mergeCell ref="AH98:AH99"/>
    <mergeCell ref="E96:E97"/>
    <mergeCell ref="V100:V101"/>
    <mergeCell ref="AB100:AB101"/>
    <mergeCell ref="AH100:AH101"/>
    <mergeCell ref="B102:B107"/>
    <mergeCell ref="C102:C103"/>
    <mergeCell ref="J102:J103"/>
    <mergeCell ref="P102:P103"/>
    <mergeCell ref="V102:V103"/>
    <mergeCell ref="AB102:AB103"/>
    <mergeCell ref="AH102:AH103"/>
    <mergeCell ref="C104:C105"/>
    <mergeCell ref="J104:J105"/>
    <mergeCell ref="P104:P105"/>
    <mergeCell ref="V104:V105"/>
    <mergeCell ref="AB104:AB105"/>
    <mergeCell ref="AH104:AH105"/>
    <mergeCell ref="E104:E105"/>
    <mergeCell ref="F104:F105"/>
    <mergeCell ref="G104:G105"/>
    <mergeCell ref="H104:H105"/>
    <mergeCell ref="C106:C107"/>
    <mergeCell ref="J106:J107"/>
    <mergeCell ref="P106:P107"/>
    <mergeCell ref="V106:V107"/>
    <mergeCell ref="AB106:AB107"/>
    <mergeCell ref="AH106:AH107"/>
    <mergeCell ref="E106:E107"/>
    <mergeCell ref="F106:F107"/>
    <mergeCell ref="G106:G107"/>
    <mergeCell ref="H106:H107"/>
    <mergeCell ref="A109:A123"/>
    <mergeCell ref="B109:C109"/>
    <mergeCell ref="B110:C111"/>
    <mergeCell ref="J110:J111"/>
    <mergeCell ref="P110:P111"/>
    <mergeCell ref="C114:C115"/>
    <mergeCell ref="J114:J115"/>
    <mergeCell ref="P114:P115"/>
    <mergeCell ref="B118:B123"/>
    <mergeCell ref="C118:C119"/>
    <mergeCell ref="V110:V111"/>
    <mergeCell ref="AB110:AB111"/>
    <mergeCell ref="AH110:AH111"/>
    <mergeCell ref="B112:B117"/>
    <mergeCell ref="C112:C113"/>
    <mergeCell ref="J112:J113"/>
    <mergeCell ref="P112:P113"/>
    <mergeCell ref="V112:V113"/>
    <mergeCell ref="AB112:AB113"/>
    <mergeCell ref="AH112:AH113"/>
    <mergeCell ref="V114:V115"/>
    <mergeCell ref="AB114:AB115"/>
    <mergeCell ref="AH114:AH115"/>
    <mergeCell ref="C116:C117"/>
    <mergeCell ref="P116:P117"/>
    <mergeCell ref="V116:V117"/>
    <mergeCell ref="AB116:AB117"/>
    <mergeCell ref="AH116:AH117"/>
    <mergeCell ref="D114:D115"/>
    <mergeCell ref="J118:J119"/>
    <mergeCell ref="P118:P119"/>
    <mergeCell ref="V118:V119"/>
    <mergeCell ref="AB118:AB119"/>
    <mergeCell ref="AH118:AH119"/>
    <mergeCell ref="C120:C121"/>
    <mergeCell ref="J120:J121"/>
    <mergeCell ref="P120:P121"/>
    <mergeCell ref="V120:V121"/>
    <mergeCell ref="AB120:AB121"/>
    <mergeCell ref="AH120:AH121"/>
    <mergeCell ref="E120:E121"/>
    <mergeCell ref="F120:F121"/>
    <mergeCell ref="G120:G121"/>
    <mergeCell ref="H120:H121"/>
    <mergeCell ref="Q120:Q121"/>
    <mergeCell ref="R120:R121"/>
    <mergeCell ref="S120:S121"/>
    <mergeCell ref="T120:T121"/>
    <mergeCell ref="AC120:AC121"/>
    <mergeCell ref="AD120:AD121"/>
    <mergeCell ref="AE120:AE121"/>
    <mergeCell ref="AF120:AF121"/>
    <mergeCell ref="C122:C123"/>
    <mergeCell ref="J122:J123"/>
    <mergeCell ref="P122:P123"/>
    <mergeCell ref="V122:V123"/>
    <mergeCell ref="AB122:AB123"/>
    <mergeCell ref="AH122:AH123"/>
    <mergeCell ref="E122:E123"/>
    <mergeCell ref="F122:F123"/>
    <mergeCell ref="G122:G123"/>
    <mergeCell ref="A125:A151"/>
    <mergeCell ref="B125:B130"/>
    <mergeCell ref="C125:C126"/>
    <mergeCell ref="C127:C128"/>
    <mergeCell ref="J127:J128"/>
    <mergeCell ref="D129:D130"/>
    <mergeCell ref="B131:B136"/>
    <mergeCell ref="C131:C132"/>
    <mergeCell ref="J131:J132"/>
    <mergeCell ref="B137:B142"/>
    <mergeCell ref="P127:P128"/>
    <mergeCell ref="V127:V128"/>
    <mergeCell ref="AB127:AB128"/>
    <mergeCell ref="AH127:AH128"/>
    <mergeCell ref="C129:C130"/>
    <mergeCell ref="J129:J130"/>
    <mergeCell ref="P129:P130"/>
    <mergeCell ref="V129:V130"/>
    <mergeCell ref="AB129:AB130"/>
    <mergeCell ref="AH129:AH130"/>
    <mergeCell ref="P131:P132"/>
    <mergeCell ref="V131:V132"/>
    <mergeCell ref="AB131:AB132"/>
    <mergeCell ref="D131:D132"/>
    <mergeCell ref="AH131:AH132"/>
    <mergeCell ref="C133:C134"/>
    <mergeCell ref="J133:J134"/>
    <mergeCell ref="P133:P134"/>
    <mergeCell ref="V133:V134"/>
    <mergeCell ref="AB133:AB134"/>
    <mergeCell ref="AH133:AH134"/>
    <mergeCell ref="C135:C136"/>
    <mergeCell ref="J135:J136"/>
    <mergeCell ref="P135:P136"/>
    <mergeCell ref="V135:V136"/>
    <mergeCell ref="AB135:AB136"/>
    <mergeCell ref="AH135:AH136"/>
    <mergeCell ref="D133:D134"/>
    <mergeCell ref="D135:D136"/>
    <mergeCell ref="E133:E134"/>
    <mergeCell ref="Q133:Q134"/>
    <mergeCell ref="R133:R134"/>
    <mergeCell ref="T131:T132"/>
    <mergeCell ref="S133:S134"/>
    <mergeCell ref="T133:T134"/>
    <mergeCell ref="Q135:Q136"/>
    <mergeCell ref="R135:R136"/>
    <mergeCell ref="S135:S136"/>
    <mergeCell ref="T135:T136"/>
    <mergeCell ref="AC135:AC136"/>
    <mergeCell ref="AD135:AD136"/>
    <mergeCell ref="AE135:AE136"/>
    <mergeCell ref="AF135:AF136"/>
    <mergeCell ref="C137:C138"/>
    <mergeCell ref="J137:J138"/>
    <mergeCell ref="P137:P138"/>
    <mergeCell ref="V137:V138"/>
    <mergeCell ref="AB137:AB138"/>
    <mergeCell ref="C141:C142"/>
    <mergeCell ref="J141:J142"/>
    <mergeCell ref="P141:P142"/>
    <mergeCell ref="V141:V142"/>
    <mergeCell ref="AB141:AB142"/>
    <mergeCell ref="AH137:AH138"/>
    <mergeCell ref="C139:C140"/>
    <mergeCell ref="J139:J140"/>
    <mergeCell ref="P139:P140"/>
    <mergeCell ref="V139:V140"/>
    <mergeCell ref="AB139:AB140"/>
    <mergeCell ref="AH139:AH140"/>
    <mergeCell ref="D137:D138"/>
    <mergeCell ref="D139:D140"/>
    <mergeCell ref="E137:E138"/>
    <mergeCell ref="AH141:AH142"/>
    <mergeCell ref="D141:D142"/>
    <mergeCell ref="F139:F140"/>
    <mergeCell ref="G139:G140"/>
    <mergeCell ref="H139:H140"/>
    <mergeCell ref="E141:E142"/>
    <mergeCell ref="F141:F142"/>
    <mergeCell ref="G141:G142"/>
    <mergeCell ref="H141:H142"/>
    <mergeCell ref="M137:M138"/>
    <mergeCell ref="N137:N138"/>
    <mergeCell ref="K139:K140"/>
    <mergeCell ref="B143:B145"/>
    <mergeCell ref="B146:B151"/>
    <mergeCell ref="C146:C147"/>
    <mergeCell ref="J146:J147"/>
    <mergeCell ref="P146:P147"/>
    <mergeCell ref="V146:V147"/>
    <mergeCell ref="AB146:AB147"/>
    <mergeCell ref="AH146:AH147"/>
    <mergeCell ref="C148:C149"/>
    <mergeCell ref="J148:J149"/>
    <mergeCell ref="P148:P149"/>
    <mergeCell ref="V148:V149"/>
    <mergeCell ref="AB148:AB149"/>
    <mergeCell ref="AH148:AH149"/>
    <mergeCell ref="C150:C151"/>
    <mergeCell ref="J150:J151"/>
    <mergeCell ref="P150:P151"/>
    <mergeCell ref="V150:V151"/>
    <mergeCell ref="AB150:AB151"/>
    <mergeCell ref="AH150:AH151"/>
    <mergeCell ref="D146:D147"/>
    <mergeCell ref="D148:D149"/>
    <mergeCell ref="D150:D151"/>
    <mergeCell ref="E146:E147"/>
    <mergeCell ref="F146:F147"/>
    <mergeCell ref="G146:G147"/>
    <mergeCell ref="H146:H147"/>
    <mergeCell ref="E148:E149"/>
    <mergeCell ref="F148:F149"/>
    <mergeCell ref="G148:G149"/>
    <mergeCell ref="H148:H149"/>
    <mergeCell ref="E150:E151"/>
    <mergeCell ref="A153:A188"/>
    <mergeCell ref="B153:B158"/>
    <mergeCell ref="C153:C154"/>
    <mergeCell ref="J153:J154"/>
    <mergeCell ref="P153:P154"/>
    <mergeCell ref="C157:C158"/>
    <mergeCell ref="J157:J158"/>
    <mergeCell ref="P157:P158"/>
    <mergeCell ref="C161:C162"/>
    <mergeCell ref="V153:V154"/>
    <mergeCell ref="AB153:AB154"/>
    <mergeCell ref="AH153:AH154"/>
    <mergeCell ref="C155:C156"/>
    <mergeCell ref="J155:J156"/>
    <mergeCell ref="P155:P156"/>
    <mergeCell ref="V155:V156"/>
    <mergeCell ref="AB155:AB156"/>
    <mergeCell ref="AH155:AH156"/>
    <mergeCell ref="D155:D156"/>
    <mergeCell ref="V157:V158"/>
    <mergeCell ref="AB157:AB158"/>
    <mergeCell ref="AH157:AH158"/>
    <mergeCell ref="B159:B164"/>
    <mergeCell ref="C159:C160"/>
    <mergeCell ref="J159:J160"/>
    <mergeCell ref="P159:P160"/>
    <mergeCell ref="V159:V160"/>
    <mergeCell ref="AB159:AB160"/>
    <mergeCell ref="AH159:AH160"/>
    <mergeCell ref="J161:J162"/>
    <mergeCell ref="P161:P162"/>
    <mergeCell ref="V161:V162"/>
    <mergeCell ref="AB161:AB162"/>
    <mergeCell ref="AH161:AH162"/>
    <mergeCell ref="D161:D162"/>
    <mergeCell ref="E161:E162"/>
    <mergeCell ref="F161:F162"/>
    <mergeCell ref="G161:G162"/>
    <mergeCell ref="H161:H162"/>
    <mergeCell ref="C163:C164"/>
    <mergeCell ref="J163:J164"/>
    <mergeCell ref="P163:P164"/>
    <mergeCell ref="V163:V164"/>
    <mergeCell ref="AB163:AB164"/>
    <mergeCell ref="AH163:AH164"/>
    <mergeCell ref="D163:D164"/>
    <mergeCell ref="E163:E164"/>
    <mergeCell ref="F163:F164"/>
    <mergeCell ref="G163:G164"/>
    <mergeCell ref="H163:H164"/>
    <mergeCell ref="K161:K162"/>
    <mergeCell ref="K163:K164"/>
    <mergeCell ref="B165:B170"/>
    <mergeCell ref="C165:C166"/>
    <mergeCell ref="J165:J166"/>
    <mergeCell ref="P165:P166"/>
    <mergeCell ref="V165:V166"/>
    <mergeCell ref="AB165:AB166"/>
    <mergeCell ref="D165:D166"/>
    <mergeCell ref="C169:C170"/>
    <mergeCell ref="J169:J170"/>
    <mergeCell ref="P169:P170"/>
    <mergeCell ref="AH165:AH166"/>
    <mergeCell ref="C167:C168"/>
    <mergeCell ref="J167:J168"/>
    <mergeCell ref="P167:P168"/>
    <mergeCell ref="V167:V168"/>
    <mergeCell ref="AB167:AB168"/>
    <mergeCell ref="AH167:AH168"/>
    <mergeCell ref="M165:M166"/>
    <mergeCell ref="N165:N166"/>
    <mergeCell ref="M167:M168"/>
    <mergeCell ref="V169:V170"/>
    <mergeCell ref="AB169:AB170"/>
    <mergeCell ref="AH169:AH170"/>
    <mergeCell ref="E165:E166"/>
    <mergeCell ref="F165:F166"/>
    <mergeCell ref="G165:G166"/>
    <mergeCell ref="H165:H166"/>
    <mergeCell ref="E167:E168"/>
    <mergeCell ref="F167:F168"/>
    <mergeCell ref="G167:G168"/>
    <mergeCell ref="H167:H168"/>
    <mergeCell ref="E169:E170"/>
    <mergeCell ref="B171:B176"/>
    <mergeCell ref="C171:C172"/>
    <mergeCell ref="J171:J172"/>
    <mergeCell ref="P171:P172"/>
    <mergeCell ref="V171:V172"/>
    <mergeCell ref="AB171:AB172"/>
    <mergeCell ref="AH171:AH172"/>
    <mergeCell ref="C173:C174"/>
    <mergeCell ref="J173:J174"/>
    <mergeCell ref="C175:C176"/>
    <mergeCell ref="AB175:AB176"/>
    <mergeCell ref="AH175:AH176"/>
    <mergeCell ref="P173:P174"/>
    <mergeCell ref="V173:V174"/>
    <mergeCell ref="AB173:AB174"/>
    <mergeCell ref="AH173:AH174"/>
    <mergeCell ref="J175:J176"/>
    <mergeCell ref="P175:P176"/>
    <mergeCell ref="V175:V176"/>
    <mergeCell ref="R171:R172"/>
    <mergeCell ref="S171:S172"/>
    <mergeCell ref="T171:T172"/>
    <mergeCell ref="R173:R174"/>
    <mergeCell ref="S173:S174"/>
    <mergeCell ref="T173:T174"/>
    <mergeCell ref="J177:J178"/>
    <mergeCell ref="P177:P178"/>
    <mergeCell ref="V177:V178"/>
    <mergeCell ref="AB177:AB178"/>
    <mergeCell ref="K175:K176"/>
    <mergeCell ref="K177:K178"/>
    <mergeCell ref="R175:R176"/>
    <mergeCell ref="S175:S176"/>
    <mergeCell ref="AH177:AH178"/>
    <mergeCell ref="C179:C180"/>
    <mergeCell ref="V179:V180"/>
    <mergeCell ref="AB179:AB180"/>
    <mergeCell ref="AH179:AH180"/>
    <mergeCell ref="C181:C182"/>
    <mergeCell ref="AH181:AH182"/>
    <mergeCell ref="V181:V182"/>
    <mergeCell ref="AB181:AB182"/>
    <mergeCell ref="D181:D182"/>
    <mergeCell ref="L181:L182"/>
    <mergeCell ref="M181:M182"/>
    <mergeCell ref="N181:N182"/>
    <mergeCell ref="T175:T176"/>
    <mergeCell ref="R177:R178"/>
    <mergeCell ref="S177:S178"/>
    <mergeCell ref="T177:T178"/>
    <mergeCell ref="R179:R180"/>
    <mergeCell ref="S179:S180"/>
    <mergeCell ref="T179:T180"/>
    <mergeCell ref="R181:R182"/>
    <mergeCell ref="S181:S182"/>
    <mergeCell ref="T181:T182"/>
    <mergeCell ref="B177:B182"/>
    <mergeCell ref="C177:C178"/>
    <mergeCell ref="J179:J180"/>
    <mergeCell ref="P179:P180"/>
    <mergeCell ref="P183:P184"/>
    <mergeCell ref="J185:J186"/>
    <mergeCell ref="D185:D186"/>
    <mergeCell ref="J181:J182"/>
    <mergeCell ref="P181:P182"/>
    <mergeCell ref="D179:D180"/>
    <mergeCell ref="D183:D184"/>
    <mergeCell ref="AB183:AB184"/>
    <mergeCell ref="AH183:AH184"/>
    <mergeCell ref="C185:C186"/>
    <mergeCell ref="V183:V184"/>
    <mergeCell ref="AH187:AH188"/>
    <mergeCell ref="P185:P186"/>
    <mergeCell ref="V185:V186"/>
    <mergeCell ref="AB185:AB186"/>
    <mergeCell ref="AH185:AH186"/>
    <mergeCell ref="J183:J184"/>
    <mergeCell ref="J187:J188"/>
    <mergeCell ref="P187:P188"/>
    <mergeCell ref="C187:C188"/>
    <mergeCell ref="E179:E180"/>
    <mergeCell ref="F179:F180"/>
    <mergeCell ref="G179:G180"/>
    <mergeCell ref="H179:H180"/>
    <mergeCell ref="E181:E182"/>
    <mergeCell ref="F181:F182"/>
    <mergeCell ref="G181:G182"/>
    <mergeCell ref="H181:H182"/>
    <mergeCell ref="V190:V191"/>
    <mergeCell ref="AB190:AB191"/>
    <mergeCell ref="P190:P191"/>
    <mergeCell ref="E185:E186"/>
    <mergeCell ref="F185:F186"/>
    <mergeCell ref="G185:G186"/>
    <mergeCell ref="B183:B188"/>
    <mergeCell ref="C183:C184"/>
    <mergeCell ref="V187:V188"/>
    <mergeCell ref="AB187:AB188"/>
    <mergeCell ref="AH190:AH191"/>
    <mergeCell ref="A190:A193"/>
    <mergeCell ref="B190:C191"/>
    <mergeCell ref="J192:J193"/>
    <mergeCell ref="P192:P193"/>
    <mergeCell ref="J190:J191"/>
    <mergeCell ref="AB192:AB193"/>
    <mergeCell ref="AH192:AH193"/>
    <mergeCell ref="B192:C193"/>
    <mergeCell ref="E183:E184"/>
    <mergeCell ref="F183:F184"/>
    <mergeCell ref="G183:G184"/>
    <mergeCell ref="H183:H184"/>
    <mergeCell ref="H185:H186"/>
    <mergeCell ref="E187:E188"/>
    <mergeCell ref="F187:F188"/>
    <mergeCell ref="G187:G188"/>
    <mergeCell ref="H187:H188"/>
    <mergeCell ref="L183:L184"/>
    <mergeCell ref="M183:M184"/>
    <mergeCell ref="N183:N184"/>
    <mergeCell ref="L185:L186"/>
    <mergeCell ref="B196:C197"/>
    <mergeCell ref="D196:D197"/>
    <mergeCell ref="J196:J197"/>
    <mergeCell ref="AB196:AB197"/>
    <mergeCell ref="AH196:AH197"/>
    <mergeCell ref="E196:E197"/>
    <mergeCell ref="F196:F197"/>
    <mergeCell ref="B202:B207"/>
    <mergeCell ref="C202:C203"/>
    <mergeCell ref="D202:D203"/>
    <mergeCell ref="J202:J203"/>
    <mergeCell ref="P196:P197"/>
    <mergeCell ref="V192:V193"/>
    <mergeCell ref="V196:V197"/>
    <mergeCell ref="B198:C199"/>
    <mergeCell ref="J198:J199"/>
    <mergeCell ref="P198:P199"/>
    <mergeCell ref="V198:V199"/>
    <mergeCell ref="AB198:AB199"/>
    <mergeCell ref="AH198:AH199"/>
    <mergeCell ref="B200:C201"/>
    <mergeCell ref="J200:J201"/>
    <mergeCell ref="P200:P201"/>
    <mergeCell ref="V200:V201"/>
    <mergeCell ref="AB200:AB201"/>
    <mergeCell ref="AH200:AH201"/>
    <mergeCell ref="E200:E201"/>
    <mergeCell ref="P202:P203"/>
    <mergeCell ref="V202:V203"/>
    <mergeCell ref="AB202:AB203"/>
    <mergeCell ref="AH202:AH203"/>
    <mergeCell ref="C204:C205"/>
    <mergeCell ref="D204:D205"/>
    <mergeCell ref="AH204:AH205"/>
    <mergeCell ref="J204:J205"/>
    <mergeCell ref="P204:P205"/>
    <mergeCell ref="V204:V205"/>
    <mergeCell ref="AB206:AB207"/>
    <mergeCell ref="AB204:AB205"/>
    <mergeCell ref="J206:J207"/>
    <mergeCell ref="AH206:AH207"/>
    <mergeCell ref="B208:C209"/>
    <mergeCell ref="J208:J209"/>
    <mergeCell ref="P208:P209"/>
    <mergeCell ref="V208:V209"/>
    <mergeCell ref="AB208:AB209"/>
    <mergeCell ref="AH208:AH209"/>
    <mergeCell ref="P206:P207"/>
    <mergeCell ref="V206:V207"/>
    <mergeCell ref="C206:C207"/>
    <mergeCell ref="Q206:Q207"/>
    <mergeCell ref="R206:R207"/>
    <mergeCell ref="S206:S207"/>
    <mergeCell ref="T206:T207"/>
    <mergeCell ref="Q208:Q209"/>
    <mergeCell ref="R208:R209"/>
    <mergeCell ref="S208:S209"/>
    <mergeCell ref="T208:T209"/>
    <mergeCell ref="AC206:AC207"/>
    <mergeCell ref="AD206:AD207"/>
    <mergeCell ref="AE206:AE207"/>
    <mergeCell ref="AF206:AF207"/>
    <mergeCell ref="AD208:AD209"/>
    <mergeCell ref="AE208:AE209"/>
    <mergeCell ref="B210:C211"/>
    <mergeCell ref="D210:D211"/>
    <mergeCell ref="J210:J211"/>
    <mergeCell ref="P210:P211"/>
    <mergeCell ref="V210:V211"/>
    <mergeCell ref="E208:E209"/>
    <mergeCell ref="F208:F209"/>
    <mergeCell ref="AB210:AB211"/>
    <mergeCell ref="AH210:AH211"/>
    <mergeCell ref="A213:A218"/>
    <mergeCell ref="B213:C214"/>
    <mergeCell ref="D213:D214"/>
    <mergeCell ref="J213:J214"/>
    <mergeCell ref="P213:P214"/>
    <mergeCell ref="B217:C218"/>
    <mergeCell ref="V213:V214"/>
    <mergeCell ref="A196:A211"/>
    <mergeCell ref="AH213:AH214"/>
    <mergeCell ref="B215:C216"/>
    <mergeCell ref="D215:D216"/>
    <mergeCell ref="J215:J216"/>
    <mergeCell ref="P215:P216"/>
    <mergeCell ref="V215:V216"/>
    <mergeCell ref="AB215:AB216"/>
    <mergeCell ref="AH215:AH216"/>
    <mergeCell ref="E213:E214"/>
    <mergeCell ref="J217:J218"/>
    <mergeCell ref="P217:P218"/>
    <mergeCell ref="V217:V218"/>
    <mergeCell ref="AB217:AB218"/>
    <mergeCell ref="AH217:AH218"/>
    <mergeCell ref="E202:E203"/>
    <mergeCell ref="A222:A223"/>
    <mergeCell ref="B222:B223"/>
    <mergeCell ref="C222:C223"/>
    <mergeCell ref="G222:H222"/>
    <mergeCell ref="M222:N222"/>
    <mergeCell ref="S222:T222"/>
    <mergeCell ref="Y222:Z222"/>
    <mergeCell ref="AE222:AF222"/>
    <mergeCell ref="B225:C225"/>
    <mergeCell ref="A226:A235"/>
    <mergeCell ref="B226:C227"/>
    <mergeCell ref="B228:C229"/>
    <mergeCell ref="B230:C231"/>
    <mergeCell ref="B232:C233"/>
    <mergeCell ref="B234:C235"/>
    <mergeCell ref="A237:A254"/>
    <mergeCell ref="B237:B242"/>
    <mergeCell ref="J237:J238"/>
    <mergeCell ref="P237:P238"/>
    <mergeCell ref="V237:V238"/>
    <mergeCell ref="C241:C242"/>
    <mergeCell ref="J241:J242"/>
    <mergeCell ref="P241:P242"/>
    <mergeCell ref="V241:V242"/>
    <mergeCell ref="C245:C246"/>
    <mergeCell ref="AB237:AB238"/>
    <mergeCell ref="B249:B254"/>
    <mergeCell ref="C249:C250"/>
    <mergeCell ref="J249:J250"/>
    <mergeCell ref="P249:P250"/>
    <mergeCell ref="V249:V250"/>
    <mergeCell ref="AB249:AB250"/>
    <mergeCell ref="C239:C240"/>
    <mergeCell ref="J239:J240"/>
    <mergeCell ref="P239:P240"/>
    <mergeCell ref="V239:V240"/>
    <mergeCell ref="AB239:AB240"/>
    <mergeCell ref="AH239:AH240"/>
    <mergeCell ref="E237:E238"/>
    <mergeCell ref="F237:F238"/>
    <mergeCell ref="AB241:AB242"/>
    <mergeCell ref="AH241:AH242"/>
    <mergeCell ref="B243:B248"/>
    <mergeCell ref="C243:C244"/>
    <mergeCell ref="J243:J244"/>
    <mergeCell ref="P243:P244"/>
    <mergeCell ref="V243:V244"/>
    <mergeCell ref="AB243:AB244"/>
    <mergeCell ref="D243:D244"/>
    <mergeCell ref="AH243:AH244"/>
    <mergeCell ref="J245:J246"/>
    <mergeCell ref="P245:P246"/>
    <mergeCell ref="V245:V246"/>
    <mergeCell ref="AB245:AB246"/>
    <mergeCell ref="AH245:AH246"/>
    <mergeCell ref="D245:D246"/>
    <mergeCell ref="E245:E246"/>
    <mergeCell ref="F245:F246"/>
    <mergeCell ref="G245:G246"/>
    <mergeCell ref="H245:H246"/>
    <mergeCell ref="C247:C248"/>
    <mergeCell ref="AH247:AH248"/>
    <mergeCell ref="J247:J248"/>
    <mergeCell ref="V247:V248"/>
    <mergeCell ref="AB247:AB248"/>
    <mergeCell ref="C251:C252"/>
    <mergeCell ref="J253:J254"/>
    <mergeCell ref="J251:J252"/>
    <mergeCell ref="AH249:AH250"/>
    <mergeCell ref="P251:P252"/>
    <mergeCell ref="V251:V252"/>
    <mergeCell ref="AB251:AB252"/>
    <mergeCell ref="P253:P254"/>
    <mergeCell ref="V253:V254"/>
    <mergeCell ref="AB253:AB254"/>
    <mergeCell ref="AH253:AH254"/>
    <mergeCell ref="AH251:AH252"/>
    <mergeCell ref="C253:C254"/>
    <mergeCell ref="D102:D103"/>
    <mergeCell ref="D104:D105"/>
    <mergeCell ref="D106:D107"/>
    <mergeCell ref="D110:D111"/>
    <mergeCell ref="D112:D113"/>
    <mergeCell ref="D116:D117"/>
    <mergeCell ref="D118:D119"/>
    <mergeCell ref="D120:D121"/>
    <mergeCell ref="D122:D123"/>
    <mergeCell ref="D125:D126"/>
    <mergeCell ref="D127:D128"/>
    <mergeCell ref="D171:D172"/>
    <mergeCell ref="D173:D174"/>
    <mergeCell ref="D175:D176"/>
    <mergeCell ref="D177:D178"/>
    <mergeCell ref="D206:D207"/>
    <mergeCell ref="AH237:AH238"/>
    <mergeCell ref="D153:D154"/>
    <mergeCell ref="D253:D254"/>
    <mergeCell ref="D187:D188"/>
    <mergeCell ref="D190:D191"/>
    <mergeCell ref="D192:D193"/>
    <mergeCell ref="D237:D238"/>
    <mergeCell ref="D239:D240"/>
    <mergeCell ref="D241:D242"/>
    <mergeCell ref="B189:AH189"/>
    <mergeCell ref="L187:L188"/>
    <mergeCell ref="M187:M188"/>
    <mergeCell ref="B152:AH152"/>
    <mergeCell ref="B124:AH124"/>
    <mergeCell ref="D247:D248"/>
    <mergeCell ref="D249:D250"/>
    <mergeCell ref="D251:D252"/>
    <mergeCell ref="D157:D158"/>
    <mergeCell ref="D159:D160"/>
    <mergeCell ref="D167:D168"/>
    <mergeCell ref="D169:D170"/>
    <mergeCell ref="E129:E130"/>
    <mergeCell ref="F133:F134"/>
    <mergeCell ref="G133:G134"/>
    <mergeCell ref="H133:H134"/>
    <mergeCell ref="E135:E136"/>
    <mergeCell ref="F135:F136"/>
    <mergeCell ref="G135:G136"/>
    <mergeCell ref="H135:H136"/>
    <mergeCell ref="F137:F138"/>
    <mergeCell ref="G137:G138"/>
    <mergeCell ref="H137:H138"/>
    <mergeCell ref="E139:E140"/>
    <mergeCell ref="B14:AH14"/>
    <mergeCell ref="B212:AH212"/>
    <mergeCell ref="B236:AH236"/>
    <mergeCell ref="A5:C5"/>
    <mergeCell ref="A7:L7"/>
    <mergeCell ref="D198:D199"/>
    <mergeCell ref="D208:D209"/>
    <mergeCell ref="B195:AH195"/>
    <mergeCell ref="B194:AH194"/>
    <mergeCell ref="E15:E16"/>
    <mergeCell ref="F15:F16"/>
    <mergeCell ref="G15:G16"/>
    <mergeCell ref="H15:H16"/>
    <mergeCell ref="K15:K16"/>
    <mergeCell ref="L15:L16"/>
    <mergeCell ref="M15:M16"/>
    <mergeCell ref="J15:J16"/>
    <mergeCell ref="T15:T16"/>
    <mergeCell ref="U15:U16"/>
    <mergeCell ref="W15:W16"/>
    <mergeCell ref="X15:X16"/>
    <mergeCell ref="Y15:Y16"/>
    <mergeCell ref="Z15:Z16"/>
    <mergeCell ref="AA15:AA16"/>
    <mergeCell ref="AC15:AC16"/>
    <mergeCell ref="AD15:AD16"/>
    <mergeCell ref="AE15:AE16"/>
    <mergeCell ref="AF15:AF16"/>
    <mergeCell ref="AG15:AG16"/>
    <mergeCell ref="E17:E18"/>
    <mergeCell ref="F17:F18"/>
    <mergeCell ref="G17:G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W19:W20"/>
    <mergeCell ref="X19:X20"/>
    <mergeCell ref="Y19:Y20"/>
    <mergeCell ref="Z19:Z20"/>
    <mergeCell ref="AA19:AA20"/>
    <mergeCell ref="AC19:AC20"/>
    <mergeCell ref="AB19:AB20"/>
    <mergeCell ref="AD19:AD20"/>
    <mergeCell ref="AE19:AE20"/>
    <mergeCell ref="L21:L22"/>
    <mergeCell ref="M21:M22"/>
    <mergeCell ref="N21:N22"/>
    <mergeCell ref="Q21:Q22"/>
    <mergeCell ref="R21:R22"/>
    <mergeCell ref="S21:S22"/>
    <mergeCell ref="T21:T22"/>
    <mergeCell ref="U21:U22"/>
    <mergeCell ref="W21:W22"/>
    <mergeCell ref="X21:X22"/>
    <mergeCell ref="Y21:Y22"/>
    <mergeCell ref="Z21:Z22"/>
    <mergeCell ref="AA21:AA22"/>
    <mergeCell ref="J17:J18"/>
    <mergeCell ref="S17:S18"/>
    <mergeCell ref="T17:T18"/>
    <mergeCell ref="U17:U18"/>
    <mergeCell ref="W17:W18"/>
    <mergeCell ref="X17:X18"/>
    <mergeCell ref="Y17:Y18"/>
    <mergeCell ref="Z17:Z18"/>
    <mergeCell ref="AA17:AA18"/>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F21:F22"/>
    <mergeCell ref="G21:G22"/>
    <mergeCell ref="H21:H22"/>
    <mergeCell ref="K21:K22"/>
    <mergeCell ref="AG25:AG26"/>
    <mergeCell ref="E27:E28"/>
    <mergeCell ref="F27:F28"/>
    <mergeCell ref="G27:G28"/>
    <mergeCell ref="H27:H28"/>
    <mergeCell ref="K27:K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E25:E26"/>
    <mergeCell ref="F25:F26"/>
    <mergeCell ref="G25:G26"/>
    <mergeCell ref="H25:H26"/>
    <mergeCell ref="K25:K26"/>
    <mergeCell ref="L25:L26"/>
    <mergeCell ref="M25:M26"/>
    <mergeCell ref="N25:N26"/>
    <mergeCell ref="Q25:Q26"/>
    <mergeCell ref="R25:R26"/>
    <mergeCell ref="S25:S26"/>
    <mergeCell ref="S29:S30"/>
    <mergeCell ref="T29:T30"/>
    <mergeCell ref="U29:U30"/>
    <mergeCell ref="W29:W30"/>
    <mergeCell ref="V29:V30"/>
    <mergeCell ref="X29:X30"/>
    <mergeCell ref="Y29:Y30"/>
    <mergeCell ref="Z29:Z30"/>
    <mergeCell ref="AA29:AA30"/>
    <mergeCell ref="AC29:AC30"/>
    <mergeCell ref="AD29:AD30"/>
    <mergeCell ref="AB29:AB30"/>
    <mergeCell ref="AA25:AA26"/>
    <mergeCell ref="AC25:AC26"/>
    <mergeCell ref="AD25:AD26"/>
    <mergeCell ref="AE25:AE26"/>
    <mergeCell ref="AF25:AF26"/>
    <mergeCell ref="T25:T26"/>
    <mergeCell ref="U25:U26"/>
    <mergeCell ref="W25:W26"/>
    <mergeCell ref="X25:X26"/>
    <mergeCell ref="Y25:Y26"/>
    <mergeCell ref="Z25:Z26"/>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H29:H30"/>
    <mergeCell ref="K29:K30"/>
    <mergeCell ref="L29:L30"/>
    <mergeCell ref="M29:M30"/>
    <mergeCell ref="Q29:Q30"/>
    <mergeCell ref="R29:R30"/>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E35:E36"/>
    <mergeCell ref="F35:F36"/>
    <mergeCell ref="G35:G36"/>
    <mergeCell ref="H35:H36"/>
    <mergeCell ref="K35:K36"/>
    <mergeCell ref="Q35:Q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40:E41"/>
    <mergeCell ref="F40:F41"/>
    <mergeCell ref="G40:G41"/>
    <mergeCell ref="H40:H41"/>
    <mergeCell ref="K40:K41"/>
    <mergeCell ref="E42:E43"/>
    <mergeCell ref="F42:F43"/>
    <mergeCell ref="G42:G43"/>
    <mergeCell ref="H42:H43"/>
    <mergeCell ref="E44:E45"/>
    <mergeCell ref="F44:F45"/>
    <mergeCell ref="G44:G45"/>
    <mergeCell ref="H44:H45"/>
    <mergeCell ref="F46:F47"/>
    <mergeCell ref="G46:G47"/>
    <mergeCell ref="H46:H47"/>
    <mergeCell ref="E48:E49"/>
    <mergeCell ref="F48:F49"/>
    <mergeCell ref="G48:G49"/>
    <mergeCell ref="H48:H49"/>
    <mergeCell ref="E52:E53"/>
    <mergeCell ref="F52:F53"/>
    <mergeCell ref="G52:G53"/>
    <mergeCell ref="H52:H53"/>
    <mergeCell ref="E54:E55"/>
    <mergeCell ref="F54:F55"/>
    <mergeCell ref="G54:G55"/>
    <mergeCell ref="H54:H55"/>
    <mergeCell ref="L40:L41"/>
    <mergeCell ref="M40:M41"/>
    <mergeCell ref="N40:N41"/>
    <mergeCell ref="K42:K43"/>
    <mergeCell ref="L42:L43"/>
    <mergeCell ref="M42:M43"/>
    <mergeCell ref="N42:N43"/>
    <mergeCell ref="K46:K47"/>
    <mergeCell ref="L46:L47"/>
    <mergeCell ref="M46:M47"/>
    <mergeCell ref="N46:N47"/>
    <mergeCell ref="K48:K49"/>
    <mergeCell ref="L48:L49"/>
    <mergeCell ref="M48:M49"/>
    <mergeCell ref="N48:N49"/>
    <mergeCell ref="K50:K51"/>
    <mergeCell ref="L50:L51"/>
    <mergeCell ref="M50:M51"/>
    <mergeCell ref="N50:N51"/>
    <mergeCell ref="K52:K53"/>
    <mergeCell ref="L52:L53"/>
    <mergeCell ref="M52:M53"/>
    <mergeCell ref="N52:N53"/>
    <mergeCell ref="K54:K55"/>
    <mergeCell ref="L54:L55"/>
    <mergeCell ref="M54:M55"/>
    <mergeCell ref="N54:N55"/>
    <mergeCell ref="K56:K57"/>
    <mergeCell ref="L56:L57"/>
    <mergeCell ref="M56:M57"/>
    <mergeCell ref="N56:N57"/>
    <mergeCell ref="Q40:Q41"/>
    <mergeCell ref="R40:R41"/>
    <mergeCell ref="S40:S41"/>
    <mergeCell ref="T40:T41"/>
    <mergeCell ref="Q42:Q43"/>
    <mergeCell ref="R42:R43"/>
    <mergeCell ref="S42:S43"/>
    <mergeCell ref="T42:T43"/>
    <mergeCell ref="Q44:Q45"/>
    <mergeCell ref="R44:R45"/>
    <mergeCell ref="S44:S45"/>
    <mergeCell ref="T44:T45"/>
    <mergeCell ref="Q46:Q47"/>
    <mergeCell ref="R46:R47"/>
    <mergeCell ref="S46:S47"/>
    <mergeCell ref="T46:T47"/>
    <mergeCell ref="Q48:Q49"/>
    <mergeCell ref="R48:R49"/>
    <mergeCell ref="S48:S49"/>
    <mergeCell ref="T48:T49"/>
    <mergeCell ref="Q50:Q51"/>
    <mergeCell ref="R50:R51"/>
    <mergeCell ref="S50:S51"/>
    <mergeCell ref="T50:T51"/>
    <mergeCell ref="Q52:Q53"/>
    <mergeCell ref="Z48:Z49"/>
    <mergeCell ref="W50:W51"/>
    <mergeCell ref="X50:X51"/>
    <mergeCell ref="Y50:Y51"/>
    <mergeCell ref="Z50:Z51"/>
    <mergeCell ref="R52:R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W52:W53"/>
    <mergeCell ref="X52:X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E40:AE41"/>
    <mergeCell ref="AC52:AC53"/>
    <mergeCell ref="AD52:AD53"/>
    <mergeCell ref="AE52:AE53"/>
    <mergeCell ref="Y40:Y41"/>
    <mergeCell ref="Z40:Z41"/>
    <mergeCell ref="W42:W43"/>
    <mergeCell ref="X42:X43"/>
    <mergeCell ref="Y42:Y43"/>
    <mergeCell ref="Z42:Z43"/>
    <mergeCell ref="Y44:Y45"/>
    <mergeCell ref="Z44:Z45"/>
    <mergeCell ref="W46:W47"/>
    <mergeCell ref="X46:X47"/>
    <mergeCell ref="Y46:Y47"/>
    <mergeCell ref="Z46:Z47"/>
    <mergeCell ref="Y48:Y49"/>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E61:E62"/>
    <mergeCell ref="F61:F62"/>
    <mergeCell ref="G61:G62"/>
    <mergeCell ref="H61:H62"/>
    <mergeCell ref="M59:M60"/>
    <mergeCell ref="N59:N60"/>
    <mergeCell ref="K61:K62"/>
    <mergeCell ref="L61:L62"/>
    <mergeCell ref="M61:M62"/>
    <mergeCell ref="N61:N62"/>
    <mergeCell ref="Q59:Q60"/>
    <mergeCell ref="R59:R60"/>
    <mergeCell ref="W59:W60"/>
    <mergeCell ref="X59:X60"/>
    <mergeCell ref="AC59:AC60"/>
    <mergeCell ref="AD59:AD60"/>
    <mergeCell ref="Y52:Y53"/>
    <mergeCell ref="E63:E64"/>
    <mergeCell ref="F63:F64"/>
    <mergeCell ref="G63:G64"/>
    <mergeCell ref="H63:H64"/>
    <mergeCell ref="E65:E66"/>
    <mergeCell ref="F65:F66"/>
    <mergeCell ref="G65:G66"/>
    <mergeCell ref="H65:H66"/>
    <mergeCell ref="E67:E68"/>
    <mergeCell ref="F67:F68"/>
    <mergeCell ref="G67:G68"/>
    <mergeCell ref="H67:H68"/>
    <mergeCell ref="G69:G70"/>
    <mergeCell ref="H69:H70"/>
    <mergeCell ref="E71:E72"/>
    <mergeCell ref="F71:F72"/>
    <mergeCell ref="G71:G72"/>
    <mergeCell ref="H71:H72"/>
    <mergeCell ref="K63:K64"/>
    <mergeCell ref="L63:L64"/>
    <mergeCell ref="M63:M64"/>
    <mergeCell ref="N63:N64"/>
    <mergeCell ref="K65:K66"/>
    <mergeCell ref="L65:L66"/>
    <mergeCell ref="M65:M66"/>
    <mergeCell ref="N65:N66"/>
    <mergeCell ref="K67:K68"/>
    <mergeCell ref="L67:L68"/>
    <mergeCell ref="M67:M68"/>
    <mergeCell ref="N67:N68"/>
    <mergeCell ref="K69:K70"/>
    <mergeCell ref="L69:L70"/>
    <mergeCell ref="M69:M70"/>
    <mergeCell ref="N69:N70"/>
    <mergeCell ref="K71:K72"/>
    <mergeCell ref="L71:L72"/>
    <mergeCell ref="M71:M72"/>
    <mergeCell ref="N71:N72"/>
    <mergeCell ref="Q63:Q64"/>
    <mergeCell ref="R63:R64"/>
    <mergeCell ref="Q67:Q68"/>
    <mergeCell ref="R67:R68"/>
    <mergeCell ref="S59:S60"/>
    <mergeCell ref="T59:T60"/>
    <mergeCell ref="Q61:Q62"/>
    <mergeCell ref="R61:R62"/>
    <mergeCell ref="S61:S62"/>
    <mergeCell ref="T61:T62"/>
    <mergeCell ref="S63:S64"/>
    <mergeCell ref="T63:T64"/>
    <mergeCell ref="Q65:Q66"/>
    <mergeCell ref="R65:R66"/>
    <mergeCell ref="S65:S66"/>
    <mergeCell ref="T65:T66"/>
    <mergeCell ref="S67:S68"/>
    <mergeCell ref="T67:T68"/>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E71:AE72"/>
    <mergeCell ref="AF71:AF72"/>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M78:M79"/>
    <mergeCell ref="N78:N79"/>
    <mergeCell ref="Q74:Q75"/>
    <mergeCell ref="R74:R75"/>
    <mergeCell ref="S74:S75"/>
    <mergeCell ref="T74:T75"/>
    <mergeCell ref="Q78:Q79"/>
    <mergeCell ref="R78:R79"/>
    <mergeCell ref="S78:S79"/>
    <mergeCell ref="T78:T79"/>
    <mergeCell ref="W74:W75"/>
    <mergeCell ref="X74:X75"/>
    <mergeCell ref="Y74:Y75"/>
    <mergeCell ref="Z74:Z75"/>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E85:E86"/>
    <mergeCell ref="F85:F86"/>
    <mergeCell ref="G85:G86"/>
    <mergeCell ref="H85:H86"/>
    <mergeCell ref="M83:M84"/>
    <mergeCell ref="N83:N84"/>
    <mergeCell ref="M85:M86"/>
    <mergeCell ref="N85:N86"/>
    <mergeCell ref="W83:W84"/>
    <mergeCell ref="AC83:AC84"/>
    <mergeCell ref="AD83:AD84"/>
    <mergeCell ref="AE83:AE84"/>
    <mergeCell ref="AF83:AF84"/>
    <mergeCell ref="AC85:AC86"/>
    <mergeCell ref="AD85:AD86"/>
    <mergeCell ref="AE85:AE86"/>
    <mergeCell ref="AF85:AF86"/>
    <mergeCell ref="H87:H88"/>
    <mergeCell ref="E89:E90"/>
    <mergeCell ref="F89:F90"/>
    <mergeCell ref="G89:G90"/>
    <mergeCell ref="H89:H90"/>
    <mergeCell ref="E91:E92"/>
    <mergeCell ref="F91:F92"/>
    <mergeCell ref="G91:G92"/>
    <mergeCell ref="H91:H92"/>
    <mergeCell ref="E93:E94"/>
    <mergeCell ref="F93:F94"/>
    <mergeCell ref="G93:G94"/>
    <mergeCell ref="H93:H94"/>
    <mergeCell ref="K83:K84"/>
    <mergeCell ref="L83:L84"/>
    <mergeCell ref="K87:K88"/>
    <mergeCell ref="L87:L88"/>
    <mergeCell ref="K91:K92"/>
    <mergeCell ref="L91:L92"/>
    <mergeCell ref="K85:K86"/>
    <mergeCell ref="L85:L86"/>
    <mergeCell ref="N87:N88"/>
    <mergeCell ref="K89:K90"/>
    <mergeCell ref="L89:L90"/>
    <mergeCell ref="M89:M90"/>
    <mergeCell ref="N89:N90"/>
    <mergeCell ref="M93:M94"/>
    <mergeCell ref="N93:N94"/>
    <mergeCell ref="Q83:Q84"/>
    <mergeCell ref="R83:R84"/>
    <mergeCell ref="S83:S84"/>
    <mergeCell ref="T83:T84"/>
    <mergeCell ref="Q85:Q86"/>
    <mergeCell ref="R85:R86"/>
    <mergeCell ref="S85:S86"/>
    <mergeCell ref="T85:T86"/>
    <mergeCell ref="S87:S88"/>
    <mergeCell ref="T87:T88"/>
    <mergeCell ref="Q89:Q90"/>
    <mergeCell ref="R89:R90"/>
    <mergeCell ref="S89:S90"/>
    <mergeCell ref="T89:T90"/>
    <mergeCell ref="T91:T92"/>
    <mergeCell ref="Q93:Q94"/>
    <mergeCell ref="R93:R94"/>
    <mergeCell ref="S93:S94"/>
    <mergeCell ref="T93:T94"/>
    <mergeCell ref="X83:X84"/>
    <mergeCell ref="Y83:Y84"/>
    <mergeCell ref="Z83:Z84"/>
    <mergeCell ref="W85:W86"/>
    <mergeCell ref="X85:X86"/>
    <mergeCell ref="Y85:Y86"/>
    <mergeCell ref="Z85:Z86"/>
    <mergeCell ref="X87:X88"/>
    <mergeCell ref="Y87:Y88"/>
    <mergeCell ref="Z87:Z88"/>
    <mergeCell ref="W89:W90"/>
    <mergeCell ref="X89:X90"/>
    <mergeCell ref="Y89:Y90"/>
    <mergeCell ref="Z89:Z90"/>
    <mergeCell ref="X91:X92"/>
    <mergeCell ref="Y91:Y92"/>
    <mergeCell ref="Z91:Z92"/>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F96:F97"/>
    <mergeCell ref="G96:G97"/>
    <mergeCell ref="H96:H97"/>
    <mergeCell ref="W96:W97"/>
    <mergeCell ref="X96:X97"/>
    <mergeCell ref="Y96:Y97"/>
    <mergeCell ref="Z96:Z97"/>
    <mergeCell ref="AC96:AC97"/>
    <mergeCell ref="AD96:AD97"/>
    <mergeCell ref="AE96:AE97"/>
    <mergeCell ref="AF96:AF97"/>
    <mergeCell ref="W87:W88"/>
    <mergeCell ref="W91:W92"/>
    <mergeCell ref="Q87:Q88"/>
    <mergeCell ref="R87:R88"/>
    <mergeCell ref="M87:M88"/>
    <mergeCell ref="E102:E103"/>
    <mergeCell ref="F102:F103"/>
    <mergeCell ref="G102:G103"/>
    <mergeCell ref="H102:H103"/>
    <mergeCell ref="K96:K97"/>
    <mergeCell ref="L96:L97"/>
    <mergeCell ref="M96:M97"/>
    <mergeCell ref="N96:N97"/>
    <mergeCell ref="K98:K99"/>
    <mergeCell ref="L98:L99"/>
    <mergeCell ref="M98:M99"/>
    <mergeCell ref="N98:N99"/>
    <mergeCell ref="K100:K101"/>
    <mergeCell ref="L100:L101"/>
    <mergeCell ref="M100:M101"/>
    <mergeCell ref="N100:N101"/>
    <mergeCell ref="K102:K103"/>
    <mergeCell ref="L102:L103"/>
    <mergeCell ref="M102:M103"/>
    <mergeCell ref="N102:N103"/>
    <mergeCell ref="K104:K105"/>
    <mergeCell ref="L104:L105"/>
    <mergeCell ref="M104:M105"/>
    <mergeCell ref="N104:N105"/>
    <mergeCell ref="K106:K107"/>
    <mergeCell ref="L106:L107"/>
    <mergeCell ref="M106:M107"/>
    <mergeCell ref="N106:N107"/>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Q106:Q107"/>
    <mergeCell ref="R106:R107"/>
    <mergeCell ref="S106:S107"/>
    <mergeCell ref="T106:T10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W106:W107"/>
    <mergeCell ref="X106:X107"/>
    <mergeCell ref="Y106:Y107"/>
    <mergeCell ref="Z106:Z10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AC106:AC107"/>
    <mergeCell ref="AD106:AD107"/>
    <mergeCell ref="AE106:AE107"/>
    <mergeCell ref="AF106:AF107"/>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H122:H123"/>
    <mergeCell ref="K110:K111"/>
    <mergeCell ref="L110:L111"/>
    <mergeCell ref="M110:M111"/>
    <mergeCell ref="N110:N111"/>
    <mergeCell ref="K112:K113"/>
    <mergeCell ref="L112:L113"/>
    <mergeCell ref="M112:M113"/>
    <mergeCell ref="N112:N113"/>
    <mergeCell ref="K114:K115"/>
    <mergeCell ref="L114:L115"/>
    <mergeCell ref="M114:M115"/>
    <mergeCell ref="N114:N115"/>
    <mergeCell ref="K116:K117"/>
    <mergeCell ref="L116:L117"/>
    <mergeCell ref="M116:M117"/>
    <mergeCell ref="N116:N117"/>
    <mergeCell ref="K118:K119"/>
    <mergeCell ref="L118:L119"/>
    <mergeCell ref="M118:M119"/>
    <mergeCell ref="N118:N119"/>
    <mergeCell ref="K120:K121"/>
    <mergeCell ref="L120:L121"/>
    <mergeCell ref="M120:M121"/>
    <mergeCell ref="N120:N121"/>
    <mergeCell ref="K122:K123"/>
    <mergeCell ref="L122:L123"/>
    <mergeCell ref="M122:M123"/>
    <mergeCell ref="N122:N123"/>
    <mergeCell ref="J116:J117"/>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Q122:Q123"/>
    <mergeCell ref="R122:R123"/>
    <mergeCell ref="S122:S123"/>
    <mergeCell ref="T122:T123"/>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2:AC123"/>
    <mergeCell ref="AD122:AD123"/>
    <mergeCell ref="AE122:AE123"/>
    <mergeCell ref="AF122:AF123"/>
    <mergeCell ref="E127:E128"/>
    <mergeCell ref="F127:F128"/>
    <mergeCell ref="G127:G128"/>
    <mergeCell ref="H127:H128"/>
    <mergeCell ref="J125:J126"/>
    <mergeCell ref="E125:E126"/>
    <mergeCell ref="F129:F130"/>
    <mergeCell ref="G129:G130"/>
    <mergeCell ref="H129:H130"/>
    <mergeCell ref="E131:E132"/>
    <mergeCell ref="F131:F132"/>
    <mergeCell ref="G131:G132"/>
    <mergeCell ref="H131:H132"/>
    <mergeCell ref="Q125:Q126"/>
    <mergeCell ref="R125:R126"/>
    <mergeCell ref="Q129:Q130"/>
    <mergeCell ref="R129:R130"/>
    <mergeCell ref="S125:S126"/>
    <mergeCell ref="T125:T126"/>
    <mergeCell ref="Q127:Q128"/>
    <mergeCell ref="R127:R128"/>
    <mergeCell ref="S127:S128"/>
    <mergeCell ref="T127:T128"/>
    <mergeCell ref="S129:S130"/>
    <mergeCell ref="T129:T130"/>
    <mergeCell ref="Q131:Q132"/>
    <mergeCell ref="R131:R132"/>
    <mergeCell ref="S131:S132"/>
    <mergeCell ref="F150:F151"/>
    <mergeCell ref="G150:G151"/>
    <mergeCell ref="H150:H151"/>
    <mergeCell ref="F125:F126"/>
    <mergeCell ref="G125:G126"/>
    <mergeCell ref="H125:H126"/>
    <mergeCell ref="K125:K126"/>
    <mergeCell ref="L125:L126"/>
    <mergeCell ref="M125:M126"/>
    <mergeCell ref="N125:N126"/>
    <mergeCell ref="K127:K128"/>
    <mergeCell ref="L127:L128"/>
    <mergeCell ref="M127:M128"/>
    <mergeCell ref="N127:N128"/>
    <mergeCell ref="K129:K130"/>
    <mergeCell ref="L129:L130"/>
    <mergeCell ref="M129:M130"/>
    <mergeCell ref="N129:N130"/>
    <mergeCell ref="K131:K132"/>
    <mergeCell ref="L131:L132"/>
    <mergeCell ref="M131:M132"/>
    <mergeCell ref="N131:N132"/>
    <mergeCell ref="K133:K134"/>
    <mergeCell ref="L133:L134"/>
    <mergeCell ref="M133:M134"/>
    <mergeCell ref="N133:N134"/>
    <mergeCell ref="K135:K136"/>
    <mergeCell ref="L135:L136"/>
    <mergeCell ref="M135:M136"/>
    <mergeCell ref="N135:N136"/>
    <mergeCell ref="K137:K138"/>
    <mergeCell ref="L137:L138"/>
    <mergeCell ref="L139:L140"/>
    <mergeCell ref="M139:M140"/>
    <mergeCell ref="N139:N140"/>
    <mergeCell ref="K141:K142"/>
    <mergeCell ref="L141:L142"/>
    <mergeCell ref="M141:M142"/>
    <mergeCell ref="N141:N142"/>
    <mergeCell ref="K146:K147"/>
    <mergeCell ref="L146:L147"/>
    <mergeCell ref="M146:M147"/>
    <mergeCell ref="N146:N147"/>
    <mergeCell ref="K148:K149"/>
    <mergeCell ref="L148:L149"/>
    <mergeCell ref="M148:M149"/>
    <mergeCell ref="N148:N149"/>
    <mergeCell ref="K150:K151"/>
    <mergeCell ref="L150:L151"/>
    <mergeCell ref="M150:M151"/>
    <mergeCell ref="N150:N151"/>
    <mergeCell ref="Q137:Q138"/>
    <mergeCell ref="R137:R138"/>
    <mergeCell ref="S137:S138"/>
    <mergeCell ref="T137:T138"/>
    <mergeCell ref="Q139:Q140"/>
    <mergeCell ref="R139:R140"/>
    <mergeCell ref="S139:S140"/>
    <mergeCell ref="T139:T140"/>
    <mergeCell ref="Q141:Q142"/>
    <mergeCell ref="R141:R142"/>
    <mergeCell ref="S141:S142"/>
    <mergeCell ref="T141:T142"/>
    <mergeCell ref="Q146:Q147"/>
    <mergeCell ref="R146:R147"/>
    <mergeCell ref="S146:S147"/>
    <mergeCell ref="T146:T147"/>
    <mergeCell ref="Q148:Q149"/>
    <mergeCell ref="R148:R149"/>
    <mergeCell ref="S148:S149"/>
    <mergeCell ref="T148:T149"/>
    <mergeCell ref="Q150:Q151"/>
    <mergeCell ref="R150:R151"/>
    <mergeCell ref="S150:S151"/>
    <mergeCell ref="T150:T151"/>
    <mergeCell ref="W125:W126"/>
    <mergeCell ref="X125:X126"/>
    <mergeCell ref="Y125:Y126"/>
    <mergeCell ref="Z125:Z126"/>
    <mergeCell ref="W127:W128"/>
    <mergeCell ref="X127:X128"/>
    <mergeCell ref="Y127:Y128"/>
    <mergeCell ref="Z127:Z128"/>
    <mergeCell ref="W129:W130"/>
    <mergeCell ref="X129:X130"/>
    <mergeCell ref="Y129:Y130"/>
    <mergeCell ref="Z129:Z130"/>
    <mergeCell ref="W131:W132"/>
    <mergeCell ref="X131:X132"/>
    <mergeCell ref="Y131:Y132"/>
    <mergeCell ref="Z131:Z132"/>
    <mergeCell ref="W133:W134"/>
    <mergeCell ref="X133:X134"/>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W141:W142"/>
    <mergeCell ref="X141:X142"/>
    <mergeCell ref="Y141:Y142"/>
    <mergeCell ref="Z141:Z142"/>
    <mergeCell ref="W146:W147"/>
    <mergeCell ref="X146:X147"/>
    <mergeCell ref="Y146:Y147"/>
    <mergeCell ref="Z146:Z147"/>
    <mergeCell ref="W148:W149"/>
    <mergeCell ref="X148:X149"/>
    <mergeCell ref="Y148:Y149"/>
    <mergeCell ref="Z148:Z149"/>
    <mergeCell ref="W150:W151"/>
    <mergeCell ref="X150:X151"/>
    <mergeCell ref="Y150:Y151"/>
    <mergeCell ref="Z150:Z151"/>
    <mergeCell ref="AC125:AC126"/>
    <mergeCell ref="AD125:AD126"/>
    <mergeCell ref="AE125:AE126"/>
    <mergeCell ref="AF125:AF126"/>
    <mergeCell ref="AC127:AC128"/>
    <mergeCell ref="AD127:AD128"/>
    <mergeCell ref="AE127:AE128"/>
    <mergeCell ref="AF127:AF128"/>
    <mergeCell ref="AC129:AC130"/>
    <mergeCell ref="AD129:AD130"/>
    <mergeCell ref="AE129:AE130"/>
    <mergeCell ref="AF129:AF130"/>
    <mergeCell ref="AC131:AC132"/>
    <mergeCell ref="AD131:AD132"/>
    <mergeCell ref="AE131:AE132"/>
    <mergeCell ref="AF131:AF132"/>
    <mergeCell ref="AC133:AC134"/>
    <mergeCell ref="AD133:AD134"/>
    <mergeCell ref="AE133:AE134"/>
    <mergeCell ref="AF133:AF134"/>
    <mergeCell ref="AC137:AC138"/>
    <mergeCell ref="AD137:AD138"/>
    <mergeCell ref="AE137:AE138"/>
    <mergeCell ref="AF137:AF138"/>
    <mergeCell ref="AC139:AC140"/>
    <mergeCell ref="AD139:AD140"/>
    <mergeCell ref="AE139:AE140"/>
    <mergeCell ref="AF139:AF140"/>
    <mergeCell ref="AC141:AC142"/>
    <mergeCell ref="AD141:AD142"/>
    <mergeCell ref="AE141:AE142"/>
    <mergeCell ref="AF141:AF142"/>
    <mergeCell ref="AC146:AC147"/>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K153:K154"/>
    <mergeCell ref="K155:K156"/>
    <mergeCell ref="K157:K158"/>
    <mergeCell ref="K159:K160"/>
    <mergeCell ref="R153:R154"/>
    <mergeCell ref="S153:S154"/>
    <mergeCell ref="T153:T154"/>
    <mergeCell ref="R155:R156"/>
    <mergeCell ref="S155:S156"/>
    <mergeCell ref="T155:T156"/>
    <mergeCell ref="R157:R158"/>
    <mergeCell ref="S157:S158"/>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K165:K166"/>
    <mergeCell ref="K167:K168"/>
    <mergeCell ref="K169:K170"/>
    <mergeCell ref="K171:K172"/>
    <mergeCell ref="K173:K174"/>
    <mergeCell ref="K179:K180"/>
    <mergeCell ref="K181:K182"/>
    <mergeCell ref="K183:K184"/>
    <mergeCell ref="K185:K186"/>
    <mergeCell ref="K187:K188"/>
    <mergeCell ref="L153:L154"/>
    <mergeCell ref="L159:L160"/>
    <mergeCell ref="L165:L166"/>
    <mergeCell ref="L167:L168"/>
    <mergeCell ref="L173:L174"/>
    <mergeCell ref="M153:M154"/>
    <mergeCell ref="N153:N154"/>
    <mergeCell ref="L155:L156"/>
    <mergeCell ref="M155:M156"/>
    <mergeCell ref="N155:N156"/>
    <mergeCell ref="L157:L158"/>
    <mergeCell ref="M157:M158"/>
    <mergeCell ref="N157:N158"/>
    <mergeCell ref="M159:M160"/>
    <mergeCell ref="N159:N160"/>
    <mergeCell ref="L161:L162"/>
    <mergeCell ref="M161:M162"/>
    <mergeCell ref="N161:N162"/>
    <mergeCell ref="L163:L164"/>
    <mergeCell ref="M163:M164"/>
    <mergeCell ref="N163:N164"/>
    <mergeCell ref="N167:N168"/>
    <mergeCell ref="L169:L170"/>
    <mergeCell ref="M169:M170"/>
    <mergeCell ref="N169:N170"/>
    <mergeCell ref="L171:L172"/>
    <mergeCell ref="M171:M172"/>
    <mergeCell ref="N171:N172"/>
    <mergeCell ref="M173:M174"/>
    <mergeCell ref="N173:N174"/>
    <mergeCell ref="L175:L176"/>
    <mergeCell ref="M175:M176"/>
    <mergeCell ref="N175:N176"/>
    <mergeCell ref="L177:L178"/>
    <mergeCell ref="M177:M178"/>
    <mergeCell ref="N177:N178"/>
    <mergeCell ref="L179:L180"/>
    <mergeCell ref="M179:M180"/>
    <mergeCell ref="N179:N180"/>
    <mergeCell ref="M185:M186"/>
    <mergeCell ref="N185:N186"/>
    <mergeCell ref="N187:N188"/>
    <mergeCell ref="Q153:Q154"/>
    <mergeCell ref="Q155:Q156"/>
    <mergeCell ref="Q157:Q158"/>
    <mergeCell ref="Q159:Q160"/>
    <mergeCell ref="Q161:Q162"/>
    <mergeCell ref="Q163:Q164"/>
    <mergeCell ref="Q165:Q166"/>
    <mergeCell ref="Q167:Q168"/>
    <mergeCell ref="Q169:Q170"/>
    <mergeCell ref="Q171:Q172"/>
    <mergeCell ref="Q173:Q174"/>
    <mergeCell ref="Q175:Q176"/>
    <mergeCell ref="Q177:Q178"/>
    <mergeCell ref="Q179:Q180"/>
    <mergeCell ref="Q181:Q182"/>
    <mergeCell ref="Q183:Q184"/>
    <mergeCell ref="Q185:Q186"/>
    <mergeCell ref="Q187:Q188"/>
    <mergeCell ref="R187:R188"/>
    <mergeCell ref="S187:S188"/>
    <mergeCell ref="T187:T188"/>
    <mergeCell ref="W153:W154"/>
    <mergeCell ref="W155:W156"/>
    <mergeCell ref="W157:W158"/>
    <mergeCell ref="W159:W160"/>
    <mergeCell ref="W161:W162"/>
    <mergeCell ref="W163:W164"/>
    <mergeCell ref="W165:W166"/>
    <mergeCell ref="W167:W168"/>
    <mergeCell ref="W169:W170"/>
    <mergeCell ref="W171:W172"/>
    <mergeCell ref="W173:W174"/>
    <mergeCell ref="W175:W176"/>
    <mergeCell ref="W177:W178"/>
    <mergeCell ref="W179:W180"/>
    <mergeCell ref="W181:W182"/>
    <mergeCell ref="W183:W184"/>
    <mergeCell ref="W185:W186"/>
    <mergeCell ref="W187:W188"/>
    <mergeCell ref="T157:T158"/>
    <mergeCell ref="R159:R160"/>
    <mergeCell ref="S159:S160"/>
    <mergeCell ref="T159:T160"/>
    <mergeCell ref="R161:R162"/>
    <mergeCell ref="S161:S162"/>
    <mergeCell ref="T161:T162"/>
    <mergeCell ref="R163:R164"/>
    <mergeCell ref="S163:S164"/>
    <mergeCell ref="T163:T164"/>
    <mergeCell ref="R165:R166"/>
    <mergeCell ref="X163:X164"/>
    <mergeCell ref="X165:X166"/>
    <mergeCell ref="X167:X168"/>
    <mergeCell ref="X169:X170"/>
    <mergeCell ref="X171:X172"/>
    <mergeCell ref="X173:X174"/>
    <mergeCell ref="X175:X176"/>
    <mergeCell ref="X177:X178"/>
    <mergeCell ref="X179:X180"/>
    <mergeCell ref="X181:X182"/>
    <mergeCell ref="X183:X184"/>
    <mergeCell ref="X185:X186"/>
    <mergeCell ref="R183:R184"/>
    <mergeCell ref="S183:S184"/>
    <mergeCell ref="T183:T184"/>
    <mergeCell ref="R185:R186"/>
    <mergeCell ref="S185:S186"/>
    <mergeCell ref="T185:T186"/>
    <mergeCell ref="S165:S166"/>
    <mergeCell ref="T165:T166"/>
    <mergeCell ref="R167:R168"/>
    <mergeCell ref="S167:S168"/>
    <mergeCell ref="T167:T168"/>
    <mergeCell ref="R169:R170"/>
    <mergeCell ref="S169:S170"/>
    <mergeCell ref="T169:T170"/>
    <mergeCell ref="Z171:Z172"/>
    <mergeCell ref="Z173:Z174"/>
    <mergeCell ref="Z175:Z176"/>
    <mergeCell ref="Z177:Z178"/>
    <mergeCell ref="Z179:Z180"/>
    <mergeCell ref="Z181:Z182"/>
    <mergeCell ref="Z183:Z184"/>
    <mergeCell ref="Z185:Z186"/>
    <mergeCell ref="X187:X188"/>
    <mergeCell ref="Y153:Y154"/>
    <mergeCell ref="Y155:Y156"/>
    <mergeCell ref="Y157:Y158"/>
    <mergeCell ref="Y159:Y160"/>
    <mergeCell ref="Y161:Y162"/>
    <mergeCell ref="Y163:Y164"/>
    <mergeCell ref="Y165:Y166"/>
    <mergeCell ref="Y167:Y168"/>
    <mergeCell ref="Y169:Y170"/>
    <mergeCell ref="Y171:Y172"/>
    <mergeCell ref="Y173:Y174"/>
    <mergeCell ref="Y175:Y176"/>
    <mergeCell ref="Y177:Y178"/>
    <mergeCell ref="Y179:Y180"/>
    <mergeCell ref="Y181:Y182"/>
    <mergeCell ref="Y183:Y184"/>
    <mergeCell ref="Y185:Y186"/>
    <mergeCell ref="Y187:Y188"/>
    <mergeCell ref="X153:X154"/>
    <mergeCell ref="X155:X156"/>
    <mergeCell ref="X157:X158"/>
    <mergeCell ref="X159:X160"/>
    <mergeCell ref="X161:X162"/>
    <mergeCell ref="AD179:AD180"/>
    <mergeCell ref="AD181:AD182"/>
    <mergeCell ref="AD183:AD184"/>
    <mergeCell ref="AD185:AD186"/>
    <mergeCell ref="Z187:Z188"/>
    <mergeCell ref="AC153:AC154"/>
    <mergeCell ref="AC155:AC156"/>
    <mergeCell ref="AC157:AC158"/>
    <mergeCell ref="AC159:AC160"/>
    <mergeCell ref="AC161:AC162"/>
    <mergeCell ref="AC163:AC164"/>
    <mergeCell ref="AC165:AC166"/>
    <mergeCell ref="AC167:AC168"/>
    <mergeCell ref="AC169:AC170"/>
    <mergeCell ref="AC171:AC172"/>
    <mergeCell ref="AC173:AC174"/>
    <mergeCell ref="AC175:AC176"/>
    <mergeCell ref="AC177:AC178"/>
    <mergeCell ref="AC179:AC180"/>
    <mergeCell ref="AC181:AC182"/>
    <mergeCell ref="AC183:AC184"/>
    <mergeCell ref="AC185:AC186"/>
    <mergeCell ref="AC187:AC188"/>
    <mergeCell ref="Z153:Z154"/>
    <mergeCell ref="Z155:Z156"/>
    <mergeCell ref="Z157:Z158"/>
    <mergeCell ref="Z159:Z160"/>
    <mergeCell ref="Z161:Z162"/>
    <mergeCell ref="Z163:Z164"/>
    <mergeCell ref="Z165:Z166"/>
    <mergeCell ref="Z167:Z168"/>
    <mergeCell ref="Z169:Z170"/>
    <mergeCell ref="AD187:AD188"/>
    <mergeCell ref="AE153:AE154"/>
    <mergeCell ref="AE155:AE156"/>
    <mergeCell ref="AE157:AE158"/>
    <mergeCell ref="AE159:AE160"/>
    <mergeCell ref="AE161:AE162"/>
    <mergeCell ref="AE163:AE164"/>
    <mergeCell ref="AE165:AE166"/>
    <mergeCell ref="AE167:AE168"/>
    <mergeCell ref="AE169:AE170"/>
    <mergeCell ref="AE171:AE172"/>
    <mergeCell ref="AE173:AE174"/>
    <mergeCell ref="AE175:AE176"/>
    <mergeCell ref="AE177:AE178"/>
    <mergeCell ref="AE179:AE180"/>
    <mergeCell ref="AE181:AE182"/>
    <mergeCell ref="AE183:AE184"/>
    <mergeCell ref="AE185:AE186"/>
    <mergeCell ref="AE187:AE188"/>
    <mergeCell ref="AD153:AD154"/>
    <mergeCell ref="AD155:AD156"/>
    <mergeCell ref="AD157:AD158"/>
    <mergeCell ref="AD159:AD160"/>
    <mergeCell ref="AD161:AD162"/>
    <mergeCell ref="AD163:AD164"/>
    <mergeCell ref="AD165:AD166"/>
    <mergeCell ref="AD167:AD168"/>
    <mergeCell ref="AD169:AD170"/>
    <mergeCell ref="AD171:AD172"/>
    <mergeCell ref="AD173:AD174"/>
    <mergeCell ref="AD175:AD176"/>
    <mergeCell ref="AD177:AD178"/>
    <mergeCell ref="AF153:AF154"/>
    <mergeCell ref="AF155:AF156"/>
    <mergeCell ref="AF157:AF158"/>
    <mergeCell ref="AF159:AF160"/>
    <mergeCell ref="AF161:AF162"/>
    <mergeCell ref="AF163:AF164"/>
    <mergeCell ref="AF165:AF166"/>
    <mergeCell ref="AF167:AF168"/>
    <mergeCell ref="AF169:AF170"/>
    <mergeCell ref="AF171:AF172"/>
    <mergeCell ref="AF173:AF174"/>
    <mergeCell ref="AF175:AF176"/>
    <mergeCell ref="AF177:AF178"/>
    <mergeCell ref="AF179:AF180"/>
    <mergeCell ref="AF181:AF182"/>
    <mergeCell ref="AF183:AF184"/>
    <mergeCell ref="AF185:AF186"/>
    <mergeCell ref="AF187:AF188"/>
    <mergeCell ref="E190:E191"/>
    <mergeCell ref="F190:F191"/>
    <mergeCell ref="G190:G191"/>
    <mergeCell ref="H190:H191"/>
    <mergeCell ref="E192:E193"/>
    <mergeCell ref="F192:F193"/>
    <mergeCell ref="G192:G193"/>
    <mergeCell ref="H192:H193"/>
    <mergeCell ref="K190:K191"/>
    <mergeCell ref="L190:L191"/>
    <mergeCell ref="M190:M191"/>
    <mergeCell ref="N190:N191"/>
    <mergeCell ref="K192:K193"/>
    <mergeCell ref="L192:L193"/>
    <mergeCell ref="M192:M193"/>
    <mergeCell ref="N192:N193"/>
    <mergeCell ref="Q190:Q191"/>
    <mergeCell ref="R190:R191"/>
    <mergeCell ref="S190:S191"/>
    <mergeCell ref="T190:T191"/>
    <mergeCell ref="Q192:Q193"/>
    <mergeCell ref="R192:R193"/>
    <mergeCell ref="S192:S193"/>
    <mergeCell ref="T192:T193"/>
    <mergeCell ref="W190:W191"/>
    <mergeCell ref="X190:X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G196:G197"/>
    <mergeCell ref="H196:H197"/>
    <mergeCell ref="E198:E199"/>
    <mergeCell ref="F198:F199"/>
    <mergeCell ref="G198:G199"/>
    <mergeCell ref="H198:H199"/>
    <mergeCell ref="F200:F201"/>
    <mergeCell ref="G200:G201"/>
    <mergeCell ref="H200:H201"/>
    <mergeCell ref="K196:K197"/>
    <mergeCell ref="L196:L197"/>
    <mergeCell ref="M196:M197"/>
    <mergeCell ref="N196:N197"/>
    <mergeCell ref="K198:K199"/>
    <mergeCell ref="L198:L199"/>
    <mergeCell ref="M198:M199"/>
    <mergeCell ref="N198:N199"/>
    <mergeCell ref="K200:K201"/>
    <mergeCell ref="L200:L201"/>
    <mergeCell ref="M200:M201"/>
    <mergeCell ref="N200:N201"/>
    <mergeCell ref="Q196:Q197"/>
    <mergeCell ref="R196:R197"/>
    <mergeCell ref="F202:F203"/>
    <mergeCell ref="G202:G203"/>
    <mergeCell ref="H202:H203"/>
    <mergeCell ref="E204:E205"/>
    <mergeCell ref="F204:F205"/>
    <mergeCell ref="G204:G205"/>
    <mergeCell ref="H204:H205"/>
    <mergeCell ref="E206:E207"/>
    <mergeCell ref="F206:F207"/>
    <mergeCell ref="G206:G207"/>
    <mergeCell ref="H206:H207"/>
    <mergeCell ref="G208:G209"/>
    <mergeCell ref="H208:H209"/>
    <mergeCell ref="E210:E211"/>
    <mergeCell ref="F210:F211"/>
    <mergeCell ref="G210:G211"/>
    <mergeCell ref="H210:H21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K210:K211"/>
    <mergeCell ref="L210:L211"/>
    <mergeCell ref="M210:M211"/>
    <mergeCell ref="N210:N211"/>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W196:W197"/>
    <mergeCell ref="X196:X197"/>
    <mergeCell ref="Y196:Y197"/>
    <mergeCell ref="Z196:Z197"/>
    <mergeCell ref="W198:W199"/>
    <mergeCell ref="X198:X199"/>
    <mergeCell ref="Y198:Y199"/>
    <mergeCell ref="Z198:Z199"/>
    <mergeCell ref="Y206:Y207"/>
    <mergeCell ref="Z206:Z207"/>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E215:E216"/>
    <mergeCell ref="F215:F216"/>
    <mergeCell ref="G215:G216"/>
    <mergeCell ref="H215:H216"/>
    <mergeCell ref="AC208:AC209"/>
    <mergeCell ref="W208:W209"/>
    <mergeCell ref="X208:X209"/>
    <mergeCell ref="Y208:Y209"/>
    <mergeCell ref="Z208:Z209"/>
    <mergeCell ref="E217:E218"/>
    <mergeCell ref="F217:F218"/>
    <mergeCell ref="G217:G218"/>
    <mergeCell ref="H217:H218"/>
    <mergeCell ref="K213:K214"/>
    <mergeCell ref="L213:L214"/>
    <mergeCell ref="K217:K218"/>
    <mergeCell ref="L217:L218"/>
    <mergeCell ref="F213:F214"/>
    <mergeCell ref="G213:G214"/>
    <mergeCell ref="M213:M214"/>
    <mergeCell ref="N213:N214"/>
    <mergeCell ref="K215:K216"/>
    <mergeCell ref="L215:L216"/>
    <mergeCell ref="M215:M216"/>
    <mergeCell ref="N215:N216"/>
    <mergeCell ref="Q213:Q214"/>
    <mergeCell ref="Q210:Q211"/>
    <mergeCell ref="R210:R211"/>
    <mergeCell ref="S210:S211"/>
    <mergeCell ref="T210:T211"/>
    <mergeCell ref="W210:W211"/>
    <mergeCell ref="X210:X211"/>
    <mergeCell ref="N217:N218"/>
    <mergeCell ref="X217:X218"/>
    <mergeCell ref="Y217:Y218"/>
    <mergeCell ref="Z217:Z218"/>
    <mergeCell ref="AC213:AC214"/>
    <mergeCell ref="AC215:AC216"/>
    <mergeCell ref="AC217:AC218"/>
    <mergeCell ref="X213:X214"/>
    <mergeCell ref="Y213:Y214"/>
    <mergeCell ref="Z213:Z214"/>
    <mergeCell ref="AB213:AB214"/>
    <mergeCell ref="AF208:AF209"/>
    <mergeCell ref="AC210:AC211"/>
    <mergeCell ref="AD210:AD211"/>
    <mergeCell ref="AE210:AE211"/>
    <mergeCell ref="AF210:AF211"/>
    <mergeCell ref="H213:H214"/>
    <mergeCell ref="Y210:Y211"/>
    <mergeCell ref="Z210:Z211"/>
    <mergeCell ref="AD213:AD214"/>
    <mergeCell ref="AE213:AE214"/>
    <mergeCell ref="AF213:AF214"/>
    <mergeCell ref="AD215:AD216"/>
    <mergeCell ref="AE215:AE216"/>
    <mergeCell ref="AF215:AF216"/>
    <mergeCell ref="AD217:AD218"/>
    <mergeCell ref="AE217:AE218"/>
    <mergeCell ref="AF217:AF218"/>
    <mergeCell ref="R213:R214"/>
    <mergeCell ref="S213:S214"/>
    <mergeCell ref="T213:T214"/>
    <mergeCell ref="R215:R216"/>
    <mergeCell ref="S215:S216"/>
    <mergeCell ref="T215:T216"/>
    <mergeCell ref="R217:R218"/>
    <mergeCell ref="G237:G238"/>
    <mergeCell ref="H237:H238"/>
    <mergeCell ref="S237:S238"/>
    <mergeCell ref="T237:T238"/>
    <mergeCell ref="AF237:AF238"/>
    <mergeCell ref="Q215:Q216"/>
    <mergeCell ref="Q217:Q218"/>
    <mergeCell ref="W213:W214"/>
    <mergeCell ref="W217:W218"/>
    <mergeCell ref="S217:S218"/>
    <mergeCell ref="T217:T218"/>
    <mergeCell ref="W215:W216"/>
    <mergeCell ref="X215:X216"/>
    <mergeCell ref="Y215:Y216"/>
    <mergeCell ref="Z215:Z216"/>
    <mergeCell ref="M217:M218"/>
    <mergeCell ref="E239:E240"/>
    <mergeCell ref="F239:F240"/>
    <mergeCell ref="G239:G240"/>
    <mergeCell ref="H239:H240"/>
    <mergeCell ref="E241:E242"/>
    <mergeCell ref="F241:F242"/>
    <mergeCell ref="G241:G242"/>
    <mergeCell ref="H241:H242"/>
    <mergeCell ref="E243:E244"/>
    <mergeCell ref="F243:F244"/>
    <mergeCell ref="G243:G244"/>
    <mergeCell ref="H243:H244"/>
    <mergeCell ref="E247:E248"/>
    <mergeCell ref="F247:F248"/>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K237:K238"/>
    <mergeCell ref="L237:L238"/>
    <mergeCell ref="M237:M238"/>
    <mergeCell ref="N237:N238"/>
    <mergeCell ref="K239:K240"/>
    <mergeCell ref="L239:L240"/>
    <mergeCell ref="M239:M240"/>
    <mergeCell ref="N239:N240"/>
    <mergeCell ref="K241:K242"/>
    <mergeCell ref="L241:L242"/>
    <mergeCell ref="M241:M242"/>
    <mergeCell ref="N241:N242"/>
    <mergeCell ref="K243:K244"/>
    <mergeCell ref="L243:L244"/>
    <mergeCell ref="M243:M244"/>
    <mergeCell ref="N243:N244"/>
    <mergeCell ref="K245:K246"/>
    <mergeCell ref="L245:L246"/>
    <mergeCell ref="M245:M246"/>
    <mergeCell ref="N245:N246"/>
    <mergeCell ref="K247:K248"/>
    <mergeCell ref="L247:L248"/>
    <mergeCell ref="M247:M248"/>
    <mergeCell ref="N247:N248"/>
    <mergeCell ref="K249:K250"/>
    <mergeCell ref="L249:L250"/>
    <mergeCell ref="M249:M250"/>
    <mergeCell ref="N249:N250"/>
    <mergeCell ref="K251:K252"/>
    <mergeCell ref="L251:L252"/>
    <mergeCell ref="M251:M252"/>
    <mergeCell ref="N251:N252"/>
    <mergeCell ref="K253:K254"/>
    <mergeCell ref="L253:L254"/>
    <mergeCell ref="M253:M254"/>
    <mergeCell ref="N253:N254"/>
    <mergeCell ref="Q237:Q238"/>
    <mergeCell ref="R237:R238"/>
    <mergeCell ref="Q241:Q242"/>
    <mergeCell ref="R241:R242"/>
    <mergeCell ref="Q245:Q246"/>
    <mergeCell ref="R245:R246"/>
    <mergeCell ref="Q239:Q240"/>
    <mergeCell ref="R239:R240"/>
    <mergeCell ref="Q251:Q252"/>
    <mergeCell ref="R251:R252"/>
    <mergeCell ref="P247:P248"/>
    <mergeCell ref="S239:S240"/>
    <mergeCell ref="T239:T240"/>
    <mergeCell ref="S241:S242"/>
    <mergeCell ref="T241:T242"/>
    <mergeCell ref="Q243:Q244"/>
    <mergeCell ref="R243:R244"/>
    <mergeCell ref="S243:S244"/>
    <mergeCell ref="T243:T244"/>
    <mergeCell ref="S245:S246"/>
    <mergeCell ref="T245:T246"/>
    <mergeCell ref="Q247:Q248"/>
    <mergeCell ref="R247:R248"/>
    <mergeCell ref="S247:S248"/>
    <mergeCell ref="T247:T248"/>
    <mergeCell ref="Q249:Q250"/>
    <mergeCell ref="R249:R250"/>
    <mergeCell ref="S249:S250"/>
    <mergeCell ref="T249:T250"/>
    <mergeCell ref="S251:S252"/>
    <mergeCell ref="T251:T252"/>
    <mergeCell ref="Q253:Q254"/>
    <mergeCell ref="R253:R254"/>
    <mergeCell ref="S253:S254"/>
    <mergeCell ref="T253:T254"/>
    <mergeCell ref="W237:W238"/>
    <mergeCell ref="X237:X238"/>
    <mergeCell ref="W241:W242"/>
    <mergeCell ref="X241:X242"/>
    <mergeCell ref="W245:W246"/>
    <mergeCell ref="X245:X246"/>
    <mergeCell ref="Y237:Y238"/>
    <mergeCell ref="Z237:Z238"/>
    <mergeCell ref="W239:W240"/>
    <mergeCell ref="X239:X240"/>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W249:W250"/>
    <mergeCell ref="X249:X250"/>
    <mergeCell ref="Y249:Y250"/>
    <mergeCell ref="Z249:Z250"/>
    <mergeCell ref="W251:W252"/>
    <mergeCell ref="X251:X252"/>
    <mergeCell ref="Y251:Y252"/>
    <mergeCell ref="Z251:Z252"/>
    <mergeCell ref="W253:W254"/>
    <mergeCell ref="X253:X254"/>
    <mergeCell ref="Y253:Y254"/>
    <mergeCell ref="Z253:Z254"/>
    <mergeCell ref="AC237:AC238"/>
    <mergeCell ref="AD237:AD238"/>
    <mergeCell ref="AC241:AC242"/>
    <mergeCell ref="AD241:AD242"/>
    <mergeCell ref="AC245:AC246"/>
    <mergeCell ref="AD245:AD246"/>
    <mergeCell ref="AE237:AE238"/>
    <mergeCell ref="AC239:AC240"/>
    <mergeCell ref="AD239:AD240"/>
    <mergeCell ref="AE239:AE240"/>
    <mergeCell ref="AF239:AF240"/>
    <mergeCell ref="AE241:AE242"/>
    <mergeCell ref="AF241:AF242"/>
    <mergeCell ref="AC243:AC244"/>
    <mergeCell ref="AD243:AD244"/>
    <mergeCell ref="AE243:AE244"/>
    <mergeCell ref="AF243:AF244"/>
    <mergeCell ref="AE251:AE252"/>
    <mergeCell ref="AF251:AF252"/>
    <mergeCell ref="AE245:AE246"/>
    <mergeCell ref="AF245:AF246"/>
    <mergeCell ref="AC247:AC248"/>
    <mergeCell ref="AD247:AD248"/>
    <mergeCell ref="AE247:AE248"/>
    <mergeCell ref="AF247:AF248"/>
    <mergeCell ref="AC253:AC254"/>
    <mergeCell ref="AD253:AD254"/>
    <mergeCell ref="AE253:AE254"/>
    <mergeCell ref="AF253:AF254"/>
    <mergeCell ref="AC249:AC250"/>
    <mergeCell ref="AD249:AD250"/>
    <mergeCell ref="AE249:AE250"/>
    <mergeCell ref="AF249:AF250"/>
    <mergeCell ref="AC251:AC252"/>
    <mergeCell ref="AD251:AD252"/>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236D-4586-4F92-85DB-285EE0BA986A}">
  <dimension ref="A1:AN256"/>
  <sheetViews>
    <sheetView zoomScaleNormal="100" workbookViewId="0">
      <selection activeCell="A8" sqref="A8:V8"/>
    </sheetView>
  </sheetViews>
  <sheetFormatPr defaultColWidth="5.6640625" defaultRowHeight="10.199999999999999" x14ac:dyDescent="0.2"/>
  <cols>
    <col min="1" max="1" width="4.5546875" style="11" customWidth="1"/>
    <col min="2" max="2" width="18.109375" style="31" customWidth="1"/>
    <col min="3" max="3" width="5" style="31" customWidth="1"/>
    <col min="4" max="4" width="3.44140625" style="11" customWidth="1"/>
    <col min="5" max="15" width="4.77734375" style="11" customWidth="1"/>
    <col min="16" max="16" width="7.109375" style="11" customWidth="1"/>
    <col min="17" max="21" width="4.77734375" style="11" customWidth="1"/>
    <col min="22" max="22" width="5.6640625" style="11" customWidth="1"/>
    <col min="23" max="27" width="4.77734375" style="11" customWidth="1"/>
    <col min="28" max="28" width="5.5546875" style="11" customWidth="1"/>
    <col min="29" max="33" width="4.77734375" style="11" customWidth="1"/>
    <col min="34" max="34" width="6.44140625" style="11" customWidth="1"/>
    <col min="35" max="16384" width="5.6640625" style="11"/>
  </cols>
  <sheetData>
    <row r="1" spans="1:40" x14ac:dyDescent="0.2">
      <c r="A1" s="165"/>
      <c r="B1" s="166"/>
      <c r="C1" s="166"/>
      <c r="D1" s="9"/>
      <c r="E1" s="167"/>
      <c r="F1" s="167"/>
      <c r="G1" s="167"/>
      <c r="H1" s="167"/>
      <c r="I1" s="167"/>
      <c r="J1" s="165"/>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x14ac:dyDescent="0.2">
      <c r="A2" s="485" t="s">
        <v>51</v>
      </c>
      <c r="B2" s="485"/>
      <c r="C2" s="485"/>
      <c r="D2" s="269"/>
      <c r="E2" s="269"/>
      <c r="F2" s="269"/>
      <c r="G2" s="269"/>
      <c r="H2" s="269"/>
      <c r="I2" s="269"/>
      <c r="J2" s="269"/>
      <c r="K2" s="269"/>
      <c r="L2" s="269"/>
      <c r="M2" s="2"/>
      <c r="N2" s="2"/>
      <c r="O2" s="2"/>
      <c r="P2" s="169"/>
      <c r="Q2" s="2"/>
      <c r="R2" s="2"/>
      <c r="S2" s="2"/>
      <c r="T2" s="170"/>
      <c r="U2" s="171"/>
      <c r="V2" s="2"/>
      <c r="W2" s="2"/>
      <c r="X2" s="2"/>
      <c r="Y2" s="2"/>
      <c r="Z2" s="2"/>
      <c r="AA2" s="2"/>
      <c r="AB2" s="2"/>
      <c r="AC2" s="2"/>
      <c r="AD2" s="2"/>
      <c r="AE2" s="2"/>
      <c r="AF2" s="2"/>
      <c r="AG2" s="2"/>
      <c r="AH2" s="2"/>
      <c r="AI2" s="2"/>
      <c r="AJ2" s="2"/>
      <c r="AK2" s="2"/>
      <c r="AL2" s="2"/>
      <c r="AM2" s="2"/>
      <c r="AN2" s="2"/>
    </row>
    <row r="3" spans="1:40" x14ac:dyDescent="0.2">
      <c r="A3" s="485" t="s">
        <v>50</v>
      </c>
      <c r="B3" s="485"/>
      <c r="C3" s="485"/>
      <c r="D3" s="269"/>
      <c r="E3" s="269"/>
      <c r="F3" s="269"/>
      <c r="G3" s="269"/>
      <c r="H3" s="269"/>
      <c r="I3" s="269"/>
      <c r="J3" s="269"/>
      <c r="K3" s="2"/>
      <c r="L3" s="169"/>
      <c r="M3" s="2"/>
      <c r="N3" s="2"/>
      <c r="O3" s="2"/>
      <c r="P3" s="169"/>
      <c r="Q3" s="2"/>
      <c r="R3" s="2"/>
      <c r="S3" s="2"/>
      <c r="T3" s="482"/>
      <c r="U3" s="483"/>
      <c r="V3" s="2"/>
      <c r="W3" s="2"/>
      <c r="X3" s="2"/>
      <c r="Y3" s="2"/>
      <c r="Z3" s="2"/>
      <c r="AA3" s="2"/>
      <c r="AB3" s="2"/>
      <c r="AC3" s="2"/>
      <c r="AD3" s="2"/>
      <c r="AE3" s="2"/>
      <c r="AF3" s="2"/>
      <c r="AG3" s="2"/>
      <c r="AH3" s="2"/>
      <c r="AI3" s="2"/>
      <c r="AJ3" s="2"/>
      <c r="AK3" s="2"/>
      <c r="AL3" s="2"/>
      <c r="AM3" s="2"/>
      <c r="AN3" s="2"/>
    </row>
    <row r="4" spans="1:40" x14ac:dyDescent="0.2">
      <c r="A4" s="485" t="s">
        <v>133</v>
      </c>
      <c r="B4" s="485"/>
      <c r="C4" s="485"/>
      <c r="D4" s="269"/>
      <c r="E4" s="269"/>
      <c r="F4" s="269"/>
      <c r="G4" s="269"/>
      <c r="H4" s="269"/>
      <c r="I4" s="269"/>
      <c r="J4" s="269"/>
      <c r="K4" s="2"/>
      <c r="L4" s="2"/>
      <c r="M4" s="2"/>
      <c r="N4" s="2"/>
      <c r="O4" s="2"/>
      <c r="P4" s="169"/>
      <c r="Q4" s="2"/>
      <c r="R4" s="2"/>
      <c r="S4" s="2"/>
      <c r="T4" s="482"/>
      <c r="U4" s="483"/>
      <c r="V4" s="2"/>
      <c r="W4" s="2"/>
      <c r="X4" s="2"/>
      <c r="Y4" s="2"/>
      <c r="Z4" s="2"/>
      <c r="AA4" s="2"/>
      <c r="AB4" s="2"/>
      <c r="AC4" s="2"/>
      <c r="AD4" s="2"/>
      <c r="AE4" s="2"/>
      <c r="AF4" s="2"/>
      <c r="AG4" s="2"/>
      <c r="AH4" s="2"/>
      <c r="AI4" s="2"/>
      <c r="AJ4" s="2"/>
      <c r="AK4" s="2"/>
      <c r="AL4" s="2"/>
      <c r="AM4" s="2"/>
      <c r="AN4" s="2"/>
    </row>
    <row r="5" spans="1:40" x14ac:dyDescent="0.2">
      <c r="A5" s="486" t="s">
        <v>148</v>
      </c>
      <c r="B5" s="269"/>
      <c r="C5" s="172"/>
      <c r="D5" s="14"/>
      <c r="E5" s="167"/>
      <c r="F5" s="167"/>
      <c r="G5" s="167"/>
      <c r="H5" s="167"/>
      <c r="I5" s="167"/>
      <c r="J5" s="173"/>
      <c r="K5" s="2"/>
      <c r="L5" s="2"/>
      <c r="M5" s="2"/>
      <c r="N5" s="2"/>
      <c r="O5" s="2"/>
      <c r="P5" s="169"/>
      <c r="Q5" s="2"/>
      <c r="R5" s="2"/>
      <c r="S5" s="2"/>
      <c r="T5" s="482"/>
      <c r="U5" s="483"/>
      <c r="V5" s="2"/>
      <c r="W5" s="2"/>
      <c r="X5" s="4"/>
      <c r="Y5" s="2"/>
      <c r="Z5" s="2"/>
      <c r="AA5" s="2"/>
      <c r="AB5" s="2"/>
      <c r="AC5" s="2"/>
      <c r="AD5" s="2"/>
      <c r="AE5" s="484"/>
      <c r="AF5" s="2"/>
      <c r="AG5" s="2"/>
      <c r="AH5" s="2"/>
      <c r="AI5" s="2" t="s">
        <v>74</v>
      </c>
      <c r="AJ5" s="2"/>
      <c r="AK5" s="2"/>
      <c r="AL5" s="2"/>
      <c r="AM5" s="2"/>
      <c r="AN5" s="2"/>
    </row>
    <row r="6" spans="1:40" x14ac:dyDescent="0.2">
      <c r="A6" s="486" t="s">
        <v>154</v>
      </c>
      <c r="B6" s="269"/>
      <c r="C6" s="166"/>
      <c r="D6" s="9"/>
      <c r="E6" s="167"/>
      <c r="F6" s="167"/>
      <c r="G6" s="167"/>
      <c r="H6" s="167"/>
      <c r="I6" s="167"/>
      <c r="J6" s="165"/>
      <c r="K6" s="2"/>
      <c r="L6" s="2"/>
      <c r="M6" s="2"/>
      <c r="N6" s="2"/>
      <c r="O6" s="5"/>
      <c r="P6" s="169"/>
      <c r="Q6" s="2"/>
      <c r="R6" s="2"/>
      <c r="S6" s="2"/>
      <c r="T6" s="170"/>
      <c r="U6" s="171"/>
      <c r="V6" s="2"/>
      <c r="W6" s="2"/>
      <c r="X6" s="2"/>
      <c r="Y6" s="2"/>
      <c r="Z6" s="2"/>
      <c r="AA6" s="5"/>
      <c r="AB6" s="5"/>
      <c r="AC6" s="2"/>
      <c r="AD6" s="2"/>
      <c r="AE6" s="484"/>
      <c r="AF6" s="2"/>
      <c r="AG6" s="5"/>
      <c r="AH6" s="5"/>
      <c r="AI6" s="2"/>
      <c r="AJ6" s="2"/>
      <c r="AK6" s="2"/>
      <c r="AL6" s="2"/>
      <c r="AM6" s="5"/>
      <c r="AN6" s="5"/>
    </row>
    <row r="7" spans="1:40" x14ac:dyDescent="0.2">
      <c r="A7" s="481"/>
      <c r="B7" s="481"/>
      <c r="C7" s="481"/>
      <c r="D7" s="269"/>
      <c r="E7" s="269"/>
      <c r="F7" s="269"/>
      <c r="G7" s="269"/>
      <c r="H7" s="269"/>
      <c r="I7" s="269"/>
      <c r="J7" s="269"/>
      <c r="K7" s="269"/>
      <c r="L7" s="269"/>
      <c r="O7" s="2"/>
      <c r="P7" s="2"/>
      <c r="T7" s="170"/>
      <c r="U7" s="171"/>
      <c r="V7" s="2"/>
      <c r="AA7" s="2"/>
      <c r="AB7" s="2"/>
      <c r="AG7" s="2"/>
      <c r="AH7" s="2"/>
      <c r="AM7" s="2"/>
      <c r="AN7" s="2"/>
    </row>
    <row r="8" spans="1:40" x14ac:dyDescent="0.2">
      <c r="A8" s="481" t="s">
        <v>159</v>
      </c>
      <c r="B8" s="481"/>
      <c r="C8" s="481"/>
      <c r="D8" s="269"/>
      <c r="E8" s="269"/>
      <c r="F8" s="269"/>
      <c r="G8" s="269"/>
      <c r="H8" s="269"/>
      <c r="I8" s="269"/>
      <c r="J8" s="269"/>
      <c r="K8" s="269"/>
      <c r="L8" s="269"/>
      <c r="M8" s="269"/>
      <c r="N8" s="269"/>
      <c r="O8" s="269"/>
      <c r="P8" s="269"/>
      <c r="Q8" s="269"/>
      <c r="R8" s="269"/>
      <c r="S8" s="269"/>
      <c r="T8" s="269"/>
      <c r="U8" s="269"/>
      <c r="V8" s="269"/>
      <c r="AA8" s="2"/>
      <c r="AB8" s="2"/>
      <c r="AG8" s="2"/>
      <c r="AH8" s="2"/>
      <c r="AM8" s="2"/>
      <c r="AN8" s="2"/>
    </row>
    <row r="9" spans="1:40" x14ac:dyDescent="0.2">
      <c r="A9" s="174"/>
      <c r="B9" s="175"/>
      <c r="C9" s="175"/>
      <c r="D9" s="9"/>
      <c r="E9" s="167"/>
      <c r="F9" s="167"/>
      <c r="G9" s="167"/>
      <c r="H9" s="167"/>
      <c r="I9" s="167"/>
      <c r="J9" s="165"/>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row>
    <row r="10" spans="1:40" ht="20.399999999999999" x14ac:dyDescent="0.2">
      <c r="A10" s="176"/>
      <c r="B10" s="471" t="s">
        <v>38</v>
      </c>
      <c r="C10" s="487"/>
      <c r="D10" s="18" t="s">
        <v>117</v>
      </c>
      <c r="E10" s="470">
        <v>2026</v>
      </c>
      <c r="F10" s="470"/>
      <c r="G10" s="470"/>
      <c r="H10" s="470"/>
      <c r="I10" s="460"/>
      <c r="J10" s="179"/>
      <c r="K10" s="470">
        <v>2027</v>
      </c>
      <c r="L10" s="470"/>
      <c r="M10" s="470"/>
      <c r="N10" s="470"/>
      <c r="O10" s="460"/>
      <c r="P10" s="251"/>
      <c r="Q10" s="470">
        <v>2028</v>
      </c>
      <c r="R10" s="470"/>
      <c r="S10" s="470"/>
      <c r="T10" s="470"/>
      <c r="U10" s="460"/>
      <c r="V10" s="251"/>
      <c r="W10" s="470">
        <v>2029</v>
      </c>
      <c r="X10" s="470"/>
      <c r="Y10" s="470"/>
      <c r="Z10" s="470"/>
      <c r="AA10" s="460"/>
      <c r="AB10" s="179"/>
      <c r="AC10" s="470">
        <v>2030</v>
      </c>
      <c r="AD10" s="470"/>
      <c r="AE10" s="470"/>
      <c r="AF10" s="470"/>
      <c r="AG10" s="460"/>
      <c r="AH10" s="179"/>
    </row>
    <row r="11" spans="1:40" x14ac:dyDescent="0.2">
      <c r="A11" s="176"/>
      <c r="B11" s="471"/>
      <c r="C11" s="487"/>
      <c r="D11" s="20"/>
      <c r="E11" s="470" t="s">
        <v>93</v>
      </c>
      <c r="F11" s="470"/>
      <c r="G11" s="460"/>
      <c r="H11" s="460"/>
      <c r="I11" s="460"/>
      <c r="J11" s="251"/>
      <c r="K11" s="470" t="s">
        <v>93</v>
      </c>
      <c r="L11" s="470"/>
      <c r="M11" s="460"/>
      <c r="N11" s="460"/>
      <c r="O11" s="460"/>
      <c r="P11" s="179"/>
      <c r="Q11" s="470" t="s">
        <v>93</v>
      </c>
      <c r="R11" s="470"/>
      <c r="S11" s="460"/>
      <c r="T11" s="460"/>
      <c r="U11" s="460"/>
      <c r="V11" s="179"/>
      <c r="W11" s="470" t="s">
        <v>93</v>
      </c>
      <c r="X11" s="470"/>
      <c r="Y11" s="460"/>
      <c r="Z11" s="460"/>
      <c r="AA11" s="460"/>
      <c r="AB11" s="179"/>
      <c r="AC11" s="470" t="s">
        <v>93</v>
      </c>
      <c r="AD11" s="470"/>
      <c r="AE11" s="460"/>
      <c r="AF11" s="460"/>
      <c r="AG11" s="460"/>
      <c r="AH11" s="179"/>
    </row>
    <row r="12" spans="1:40" x14ac:dyDescent="0.2">
      <c r="A12" s="176"/>
      <c r="B12" s="471"/>
      <c r="C12" s="487"/>
      <c r="D12" s="20"/>
      <c r="E12" s="176" t="s">
        <v>1</v>
      </c>
      <c r="F12" s="176" t="s">
        <v>2</v>
      </c>
      <c r="G12" s="176" t="s">
        <v>3</v>
      </c>
      <c r="H12" s="176" t="s">
        <v>4</v>
      </c>
      <c r="I12" s="180" t="s">
        <v>5</v>
      </c>
      <c r="J12" s="180" t="s">
        <v>112</v>
      </c>
      <c r="K12" s="176" t="s">
        <v>1</v>
      </c>
      <c r="L12" s="176" t="s">
        <v>2</v>
      </c>
      <c r="M12" s="176" t="s">
        <v>3</v>
      </c>
      <c r="N12" s="176" t="s">
        <v>4</v>
      </c>
      <c r="O12" s="180" t="s">
        <v>5</v>
      </c>
      <c r="P12" s="180" t="s">
        <v>119</v>
      </c>
      <c r="Q12" s="176" t="s">
        <v>1</v>
      </c>
      <c r="R12" s="176" t="s">
        <v>2</v>
      </c>
      <c r="S12" s="176" t="s">
        <v>3</v>
      </c>
      <c r="T12" s="176" t="s">
        <v>4</v>
      </c>
      <c r="U12" s="180" t="s">
        <v>5</v>
      </c>
      <c r="V12" s="180" t="s">
        <v>121</v>
      </c>
      <c r="W12" s="176" t="s">
        <v>1</v>
      </c>
      <c r="X12" s="176" t="s">
        <v>2</v>
      </c>
      <c r="Y12" s="176" t="s">
        <v>3</v>
      </c>
      <c r="Z12" s="176" t="s">
        <v>4</v>
      </c>
      <c r="AA12" s="180" t="s">
        <v>5</v>
      </c>
      <c r="AB12" s="180" t="s">
        <v>122</v>
      </c>
      <c r="AC12" s="176" t="s">
        <v>1</v>
      </c>
      <c r="AD12" s="176" t="s">
        <v>2</v>
      </c>
      <c r="AE12" s="176" t="s">
        <v>3</v>
      </c>
      <c r="AF12" s="176" t="s">
        <v>4</v>
      </c>
      <c r="AG12" s="180" t="s">
        <v>5</v>
      </c>
      <c r="AH12" s="180" t="s">
        <v>123</v>
      </c>
    </row>
    <row r="13" spans="1:40" x14ac:dyDescent="0.2">
      <c r="A13" s="178">
        <v>0</v>
      </c>
      <c r="B13" s="177">
        <v>1</v>
      </c>
      <c r="C13" s="177">
        <v>2</v>
      </c>
      <c r="D13" s="22">
        <v>3</v>
      </c>
      <c r="E13" s="178" t="s">
        <v>113</v>
      </c>
      <c r="F13" s="178" t="s">
        <v>114</v>
      </c>
      <c r="G13" s="178" t="s">
        <v>115</v>
      </c>
      <c r="H13" s="178" t="s">
        <v>116</v>
      </c>
      <c r="I13" s="178"/>
      <c r="J13" s="178"/>
      <c r="K13" s="178" t="s">
        <v>113</v>
      </c>
      <c r="L13" s="178" t="s">
        <v>114</v>
      </c>
      <c r="M13" s="178" t="s">
        <v>115</v>
      </c>
      <c r="N13" s="178" t="s">
        <v>116</v>
      </c>
      <c r="O13" s="178"/>
      <c r="P13" s="178"/>
      <c r="Q13" s="178" t="s">
        <v>113</v>
      </c>
      <c r="R13" s="178" t="s">
        <v>114</v>
      </c>
      <c r="S13" s="178" t="s">
        <v>115</v>
      </c>
      <c r="T13" s="178" t="s">
        <v>116</v>
      </c>
      <c r="U13" s="178"/>
      <c r="V13" s="178"/>
      <c r="W13" s="178" t="s">
        <v>113</v>
      </c>
      <c r="X13" s="178" t="s">
        <v>114</v>
      </c>
      <c r="Y13" s="178" t="s">
        <v>115</v>
      </c>
      <c r="Z13" s="178" t="s">
        <v>116</v>
      </c>
      <c r="AA13" s="178"/>
      <c r="AB13" s="178"/>
      <c r="AC13" s="178" t="s">
        <v>113</v>
      </c>
      <c r="AD13" s="178" t="s">
        <v>114</v>
      </c>
      <c r="AE13" s="178" t="s">
        <v>115</v>
      </c>
      <c r="AF13" s="178" t="s">
        <v>116</v>
      </c>
      <c r="AG13" s="178"/>
      <c r="AH13" s="178"/>
    </row>
    <row r="14" spans="1:40" ht="10.8" thickBot="1" x14ac:dyDescent="0.25">
      <c r="A14" s="176">
        <v>1.1000000000000001</v>
      </c>
      <c r="B14" s="480"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40" ht="10.8" thickBot="1" x14ac:dyDescent="0.25">
      <c r="A15" s="469"/>
      <c r="B15" s="465" t="s">
        <v>92</v>
      </c>
      <c r="C15" s="475"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40" ht="10.8" thickBot="1" x14ac:dyDescent="0.25">
      <c r="A16" s="469"/>
      <c r="B16" s="465"/>
      <c r="C16" s="475"/>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469"/>
      <c r="B17" s="465"/>
      <c r="C17" s="475"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469"/>
      <c r="B18" s="465"/>
      <c r="C18" s="475"/>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469"/>
      <c r="B19" s="465"/>
      <c r="C19" s="475"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25.8" customHeight="1" thickBot="1" x14ac:dyDescent="0.25">
      <c r="A20" s="469"/>
      <c r="B20" s="465"/>
      <c r="C20" s="475"/>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0.8" thickBot="1" x14ac:dyDescent="0.25">
      <c r="A21" s="469"/>
      <c r="B21" s="465" t="s">
        <v>80</v>
      </c>
      <c r="C21" s="475"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469"/>
      <c r="B22" s="465"/>
      <c r="C22" s="475"/>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469"/>
      <c r="B23" s="465"/>
      <c r="C23" s="475"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469"/>
      <c r="B24" s="465"/>
      <c r="C24" s="475"/>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469"/>
      <c r="B25" s="465"/>
      <c r="C25" s="475"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469"/>
      <c r="B26" s="465"/>
      <c r="C26" s="475"/>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0.8" thickBot="1" x14ac:dyDescent="0.25">
      <c r="A27" s="469"/>
      <c r="B27" s="465" t="s">
        <v>81</v>
      </c>
      <c r="C27" s="475"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469"/>
      <c r="B28" s="465"/>
      <c r="C28" s="475"/>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469"/>
      <c r="B29" s="465"/>
      <c r="C29" s="475"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469"/>
      <c r="B30" s="465"/>
      <c r="C30" s="475"/>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469"/>
      <c r="B31" s="465"/>
      <c r="C31" s="475"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6.2" customHeight="1" thickBot="1" x14ac:dyDescent="0.25">
      <c r="A32" s="469"/>
      <c r="B32" s="465"/>
      <c r="C32" s="475"/>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21" customHeight="1" thickBot="1" x14ac:dyDescent="0.25">
      <c r="A33" s="469"/>
      <c r="B33" s="488" t="s">
        <v>79</v>
      </c>
      <c r="C33" s="475"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26.4" customHeight="1" thickBot="1" x14ac:dyDescent="0.25">
      <c r="A34" s="469"/>
      <c r="B34" s="488"/>
      <c r="C34" s="475"/>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469"/>
      <c r="B35" s="488"/>
      <c r="C35" s="475"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469"/>
      <c r="B36" s="488"/>
      <c r="C36" s="475"/>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469"/>
      <c r="B37" s="488"/>
      <c r="C37" s="475"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42.6" customHeight="1" thickBot="1" x14ac:dyDescent="0.25">
      <c r="A38" s="469"/>
      <c r="B38" s="488"/>
      <c r="C38" s="475"/>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6">
        <v>1.2</v>
      </c>
      <c r="B39" s="462" t="s">
        <v>12</v>
      </c>
      <c r="C39" s="462"/>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row>
    <row r="40" spans="1:34" x14ac:dyDescent="0.2">
      <c r="A40" s="469"/>
      <c r="B40" s="465" t="s">
        <v>39</v>
      </c>
      <c r="C40" s="465" t="s">
        <v>6</v>
      </c>
      <c r="D40" s="251" t="s">
        <v>78</v>
      </c>
      <c r="E40" s="451">
        <v>1</v>
      </c>
      <c r="F40" s="451">
        <v>1</v>
      </c>
      <c r="G40" s="451">
        <v>1</v>
      </c>
      <c r="H40" s="451">
        <v>1</v>
      </c>
      <c r="I40" s="460"/>
      <c r="J40" s="451">
        <v>1</v>
      </c>
      <c r="K40" s="451">
        <v>1</v>
      </c>
      <c r="L40" s="451">
        <v>1</v>
      </c>
      <c r="M40" s="451">
        <v>1</v>
      </c>
      <c r="N40" s="451">
        <v>1</v>
      </c>
      <c r="O40" s="179"/>
      <c r="P40" s="451">
        <v>1</v>
      </c>
      <c r="Q40" s="451">
        <v>1</v>
      </c>
      <c r="R40" s="451">
        <v>1</v>
      </c>
      <c r="S40" s="451">
        <v>1</v>
      </c>
      <c r="T40" s="451">
        <v>1</v>
      </c>
      <c r="U40" s="179"/>
      <c r="V40" s="451">
        <v>1</v>
      </c>
      <c r="W40" s="451">
        <v>1</v>
      </c>
      <c r="X40" s="451">
        <v>1</v>
      </c>
      <c r="Y40" s="451">
        <v>1</v>
      </c>
      <c r="Z40" s="451">
        <v>1</v>
      </c>
      <c r="AA40" s="179"/>
      <c r="AB40" s="451">
        <v>1</v>
      </c>
      <c r="AC40" s="451">
        <v>1</v>
      </c>
      <c r="AD40" s="451">
        <v>1</v>
      </c>
      <c r="AE40" s="451">
        <v>1</v>
      </c>
      <c r="AF40" s="451">
        <v>1</v>
      </c>
      <c r="AG40" s="179"/>
      <c r="AH40" s="451">
        <v>1</v>
      </c>
    </row>
    <row r="41" spans="1:34" x14ac:dyDescent="0.2">
      <c r="A41" s="469"/>
      <c r="B41" s="465"/>
      <c r="C41" s="465"/>
      <c r="D41" s="251"/>
      <c r="E41" s="451"/>
      <c r="F41" s="451"/>
      <c r="G41" s="451"/>
      <c r="H41" s="451"/>
      <c r="I41" s="460"/>
      <c r="J41" s="451"/>
      <c r="K41" s="451"/>
      <c r="L41" s="451"/>
      <c r="M41" s="451"/>
      <c r="N41" s="451"/>
      <c r="O41" s="179"/>
      <c r="P41" s="451"/>
      <c r="Q41" s="451"/>
      <c r="R41" s="451"/>
      <c r="S41" s="451"/>
      <c r="T41" s="451"/>
      <c r="U41" s="179"/>
      <c r="V41" s="451"/>
      <c r="W41" s="451"/>
      <c r="X41" s="451"/>
      <c r="Y41" s="451"/>
      <c r="Z41" s="451"/>
      <c r="AA41" s="179"/>
      <c r="AB41" s="451"/>
      <c r="AC41" s="451"/>
      <c r="AD41" s="451"/>
      <c r="AE41" s="451"/>
      <c r="AF41" s="451"/>
      <c r="AG41" s="179"/>
      <c r="AH41" s="451"/>
    </row>
    <row r="42" spans="1:34" x14ac:dyDescent="0.2">
      <c r="A42" s="469"/>
      <c r="B42" s="465"/>
      <c r="C42" s="465" t="s">
        <v>7</v>
      </c>
      <c r="D42" s="251" t="s">
        <v>78</v>
      </c>
      <c r="E42" s="451">
        <v>1</v>
      </c>
      <c r="F42" s="451">
        <v>1</v>
      </c>
      <c r="G42" s="451">
        <v>1</v>
      </c>
      <c r="H42" s="451">
        <v>1</v>
      </c>
      <c r="I42" s="460"/>
      <c r="J42" s="451">
        <v>1</v>
      </c>
      <c r="K42" s="451">
        <v>1</v>
      </c>
      <c r="L42" s="451">
        <v>1</v>
      </c>
      <c r="M42" s="451">
        <v>1</v>
      </c>
      <c r="N42" s="451">
        <v>1</v>
      </c>
      <c r="O42" s="179"/>
      <c r="P42" s="451">
        <v>1</v>
      </c>
      <c r="Q42" s="451">
        <v>1</v>
      </c>
      <c r="R42" s="451">
        <v>1</v>
      </c>
      <c r="S42" s="451">
        <v>1</v>
      </c>
      <c r="T42" s="451">
        <v>1</v>
      </c>
      <c r="U42" s="179"/>
      <c r="V42" s="451">
        <v>1</v>
      </c>
      <c r="W42" s="451">
        <v>1</v>
      </c>
      <c r="X42" s="451">
        <v>1</v>
      </c>
      <c r="Y42" s="451">
        <v>1</v>
      </c>
      <c r="Z42" s="451">
        <v>1</v>
      </c>
      <c r="AA42" s="179"/>
      <c r="AB42" s="451">
        <v>1</v>
      </c>
      <c r="AC42" s="451">
        <v>1</v>
      </c>
      <c r="AD42" s="451">
        <v>1</v>
      </c>
      <c r="AE42" s="451">
        <v>1</v>
      </c>
      <c r="AF42" s="451">
        <v>1</v>
      </c>
      <c r="AG42" s="179"/>
      <c r="AH42" s="451">
        <v>1</v>
      </c>
    </row>
    <row r="43" spans="1:34" x14ac:dyDescent="0.2">
      <c r="A43" s="469"/>
      <c r="B43" s="465"/>
      <c r="C43" s="465"/>
      <c r="D43" s="251"/>
      <c r="E43" s="451"/>
      <c r="F43" s="451"/>
      <c r="G43" s="451"/>
      <c r="H43" s="451"/>
      <c r="I43" s="460"/>
      <c r="J43" s="451"/>
      <c r="K43" s="451"/>
      <c r="L43" s="451"/>
      <c r="M43" s="451"/>
      <c r="N43" s="451"/>
      <c r="O43" s="179"/>
      <c r="P43" s="451"/>
      <c r="Q43" s="451"/>
      <c r="R43" s="451"/>
      <c r="S43" s="451"/>
      <c r="T43" s="451"/>
      <c r="U43" s="179"/>
      <c r="V43" s="451"/>
      <c r="W43" s="451"/>
      <c r="X43" s="451"/>
      <c r="Y43" s="451"/>
      <c r="Z43" s="451"/>
      <c r="AA43" s="179"/>
      <c r="AB43" s="451"/>
      <c r="AC43" s="451"/>
      <c r="AD43" s="451"/>
      <c r="AE43" s="451"/>
      <c r="AF43" s="451"/>
      <c r="AG43" s="179"/>
      <c r="AH43" s="451"/>
    </row>
    <row r="44" spans="1:34" x14ac:dyDescent="0.2">
      <c r="A44" s="469"/>
      <c r="B44" s="465"/>
      <c r="C44" s="465" t="s">
        <v>8</v>
      </c>
      <c r="D44" s="251" t="s">
        <v>78</v>
      </c>
      <c r="E44" s="451">
        <v>1</v>
      </c>
      <c r="F44" s="451">
        <v>1</v>
      </c>
      <c r="G44" s="451">
        <v>1</v>
      </c>
      <c r="H44" s="451">
        <v>1</v>
      </c>
      <c r="I44" s="460"/>
      <c r="J44" s="451">
        <v>1</v>
      </c>
      <c r="K44" s="451">
        <v>1</v>
      </c>
      <c r="L44" s="451">
        <v>1</v>
      </c>
      <c r="M44" s="451">
        <v>1</v>
      </c>
      <c r="N44" s="451">
        <v>1</v>
      </c>
      <c r="O44" s="179"/>
      <c r="P44" s="451">
        <v>1</v>
      </c>
      <c r="Q44" s="451">
        <v>1</v>
      </c>
      <c r="R44" s="451">
        <v>1</v>
      </c>
      <c r="S44" s="451">
        <v>1</v>
      </c>
      <c r="T44" s="451">
        <v>1</v>
      </c>
      <c r="U44" s="179"/>
      <c r="V44" s="451">
        <v>1</v>
      </c>
      <c r="W44" s="451">
        <v>1</v>
      </c>
      <c r="X44" s="451">
        <v>1</v>
      </c>
      <c r="Y44" s="451">
        <v>1</v>
      </c>
      <c r="Z44" s="451">
        <v>1</v>
      </c>
      <c r="AA44" s="179"/>
      <c r="AB44" s="451">
        <v>1</v>
      </c>
      <c r="AC44" s="451">
        <v>1</v>
      </c>
      <c r="AD44" s="451">
        <v>1</v>
      </c>
      <c r="AE44" s="451">
        <v>1</v>
      </c>
      <c r="AF44" s="451">
        <v>1</v>
      </c>
      <c r="AG44" s="179"/>
      <c r="AH44" s="451">
        <v>1</v>
      </c>
    </row>
    <row r="45" spans="1:34" x14ac:dyDescent="0.2">
      <c r="A45" s="469"/>
      <c r="B45" s="465"/>
      <c r="C45" s="465"/>
      <c r="D45" s="251"/>
      <c r="E45" s="451"/>
      <c r="F45" s="451"/>
      <c r="G45" s="451"/>
      <c r="H45" s="451"/>
      <c r="I45" s="460"/>
      <c r="J45" s="451"/>
      <c r="K45" s="451"/>
      <c r="L45" s="451"/>
      <c r="M45" s="451"/>
      <c r="N45" s="451"/>
      <c r="O45" s="179"/>
      <c r="P45" s="451"/>
      <c r="Q45" s="451"/>
      <c r="R45" s="451"/>
      <c r="S45" s="451"/>
      <c r="T45" s="451"/>
      <c r="U45" s="179"/>
      <c r="V45" s="451"/>
      <c r="W45" s="451"/>
      <c r="X45" s="451"/>
      <c r="Y45" s="451"/>
      <c r="Z45" s="451"/>
      <c r="AA45" s="179"/>
      <c r="AB45" s="451"/>
      <c r="AC45" s="451"/>
      <c r="AD45" s="451"/>
      <c r="AE45" s="451"/>
      <c r="AF45" s="451"/>
      <c r="AG45" s="179"/>
      <c r="AH45" s="451"/>
    </row>
    <row r="46" spans="1:34" x14ac:dyDescent="0.2">
      <c r="A46" s="469"/>
      <c r="B46" s="465" t="s">
        <v>0</v>
      </c>
      <c r="C46" s="465" t="s">
        <v>6</v>
      </c>
      <c r="D46" s="251" t="s">
        <v>78</v>
      </c>
      <c r="E46" s="451">
        <v>1</v>
      </c>
      <c r="F46" s="451">
        <v>1</v>
      </c>
      <c r="G46" s="451">
        <v>1</v>
      </c>
      <c r="H46" s="451">
        <v>1</v>
      </c>
      <c r="I46" s="460"/>
      <c r="J46" s="451">
        <v>1</v>
      </c>
      <c r="K46" s="451">
        <v>1</v>
      </c>
      <c r="L46" s="451">
        <v>1</v>
      </c>
      <c r="M46" s="451">
        <v>1</v>
      </c>
      <c r="N46" s="451">
        <v>1</v>
      </c>
      <c r="O46" s="179"/>
      <c r="P46" s="451">
        <v>1</v>
      </c>
      <c r="Q46" s="451">
        <v>1</v>
      </c>
      <c r="R46" s="451">
        <v>1</v>
      </c>
      <c r="S46" s="451">
        <v>1</v>
      </c>
      <c r="T46" s="451">
        <v>1</v>
      </c>
      <c r="U46" s="179"/>
      <c r="V46" s="451">
        <v>1</v>
      </c>
      <c r="W46" s="451">
        <v>1</v>
      </c>
      <c r="X46" s="451">
        <v>1</v>
      </c>
      <c r="Y46" s="451">
        <v>1</v>
      </c>
      <c r="Z46" s="451">
        <v>1</v>
      </c>
      <c r="AA46" s="179"/>
      <c r="AB46" s="451">
        <v>1</v>
      </c>
      <c r="AC46" s="451">
        <v>1</v>
      </c>
      <c r="AD46" s="451">
        <v>1</v>
      </c>
      <c r="AE46" s="451">
        <v>1</v>
      </c>
      <c r="AF46" s="451">
        <v>1</v>
      </c>
      <c r="AG46" s="179"/>
      <c r="AH46" s="451">
        <v>1</v>
      </c>
    </row>
    <row r="47" spans="1:34" x14ac:dyDescent="0.2">
      <c r="A47" s="469"/>
      <c r="B47" s="465"/>
      <c r="C47" s="465"/>
      <c r="D47" s="251"/>
      <c r="E47" s="451"/>
      <c r="F47" s="451"/>
      <c r="G47" s="451"/>
      <c r="H47" s="451"/>
      <c r="I47" s="460"/>
      <c r="J47" s="451"/>
      <c r="K47" s="451"/>
      <c r="L47" s="451"/>
      <c r="M47" s="451"/>
      <c r="N47" s="451"/>
      <c r="O47" s="179"/>
      <c r="P47" s="451"/>
      <c r="Q47" s="451"/>
      <c r="R47" s="451"/>
      <c r="S47" s="451"/>
      <c r="T47" s="451"/>
      <c r="U47" s="179"/>
      <c r="V47" s="451"/>
      <c r="W47" s="451"/>
      <c r="X47" s="451"/>
      <c r="Y47" s="451"/>
      <c r="Z47" s="451"/>
      <c r="AA47" s="179"/>
      <c r="AB47" s="451"/>
      <c r="AC47" s="451"/>
      <c r="AD47" s="451"/>
      <c r="AE47" s="451"/>
      <c r="AF47" s="451"/>
      <c r="AG47" s="179"/>
      <c r="AH47" s="451"/>
    </row>
    <row r="48" spans="1:34" x14ac:dyDescent="0.2">
      <c r="A48" s="469"/>
      <c r="B48" s="465"/>
      <c r="C48" s="465" t="s">
        <v>7</v>
      </c>
      <c r="D48" s="251" t="s">
        <v>78</v>
      </c>
      <c r="E48" s="451">
        <v>1</v>
      </c>
      <c r="F48" s="451">
        <v>1</v>
      </c>
      <c r="G48" s="451">
        <v>1</v>
      </c>
      <c r="H48" s="451">
        <v>1</v>
      </c>
      <c r="I48" s="460"/>
      <c r="J48" s="451">
        <v>1</v>
      </c>
      <c r="K48" s="451">
        <v>1</v>
      </c>
      <c r="L48" s="451">
        <v>1</v>
      </c>
      <c r="M48" s="451">
        <v>1</v>
      </c>
      <c r="N48" s="451">
        <v>1</v>
      </c>
      <c r="O48" s="179"/>
      <c r="P48" s="451">
        <v>1</v>
      </c>
      <c r="Q48" s="451">
        <v>1</v>
      </c>
      <c r="R48" s="451">
        <v>1</v>
      </c>
      <c r="S48" s="451">
        <v>1</v>
      </c>
      <c r="T48" s="451">
        <v>1</v>
      </c>
      <c r="U48" s="179"/>
      <c r="V48" s="451">
        <v>1</v>
      </c>
      <c r="W48" s="451">
        <v>1</v>
      </c>
      <c r="X48" s="451">
        <v>1</v>
      </c>
      <c r="Y48" s="451">
        <v>1</v>
      </c>
      <c r="Z48" s="451">
        <v>1</v>
      </c>
      <c r="AA48" s="179"/>
      <c r="AB48" s="451">
        <v>1</v>
      </c>
      <c r="AC48" s="451">
        <v>1</v>
      </c>
      <c r="AD48" s="451">
        <v>1</v>
      </c>
      <c r="AE48" s="451">
        <v>1</v>
      </c>
      <c r="AF48" s="451">
        <v>1</v>
      </c>
      <c r="AG48" s="179"/>
      <c r="AH48" s="451">
        <v>1</v>
      </c>
    </row>
    <row r="49" spans="1:34" x14ac:dyDescent="0.2">
      <c r="A49" s="469"/>
      <c r="B49" s="465"/>
      <c r="C49" s="465"/>
      <c r="D49" s="251"/>
      <c r="E49" s="451"/>
      <c r="F49" s="451"/>
      <c r="G49" s="451"/>
      <c r="H49" s="451"/>
      <c r="I49" s="460"/>
      <c r="J49" s="451"/>
      <c r="K49" s="451"/>
      <c r="L49" s="451"/>
      <c r="M49" s="451"/>
      <c r="N49" s="451"/>
      <c r="O49" s="179"/>
      <c r="P49" s="451"/>
      <c r="Q49" s="451"/>
      <c r="R49" s="451"/>
      <c r="S49" s="451"/>
      <c r="T49" s="451"/>
      <c r="U49" s="179"/>
      <c r="V49" s="451"/>
      <c r="W49" s="451"/>
      <c r="X49" s="451"/>
      <c r="Y49" s="451"/>
      <c r="Z49" s="451"/>
      <c r="AA49" s="179"/>
      <c r="AB49" s="451"/>
      <c r="AC49" s="451"/>
      <c r="AD49" s="451"/>
      <c r="AE49" s="451"/>
      <c r="AF49" s="451"/>
      <c r="AG49" s="179"/>
      <c r="AH49" s="451"/>
    </row>
    <row r="50" spans="1:34" x14ac:dyDescent="0.2">
      <c r="A50" s="469"/>
      <c r="B50" s="465"/>
      <c r="C50" s="465" t="s">
        <v>8</v>
      </c>
      <c r="D50" s="251" t="s">
        <v>78</v>
      </c>
      <c r="E50" s="451">
        <v>1</v>
      </c>
      <c r="F50" s="451">
        <v>1</v>
      </c>
      <c r="G50" s="451">
        <v>1</v>
      </c>
      <c r="H50" s="451">
        <v>1</v>
      </c>
      <c r="I50" s="460"/>
      <c r="J50" s="451">
        <v>1</v>
      </c>
      <c r="K50" s="451">
        <v>1</v>
      </c>
      <c r="L50" s="451">
        <v>1</v>
      </c>
      <c r="M50" s="451">
        <v>1</v>
      </c>
      <c r="N50" s="451">
        <v>1</v>
      </c>
      <c r="O50" s="179"/>
      <c r="P50" s="451">
        <v>1</v>
      </c>
      <c r="Q50" s="451">
        <v>1</v>
      </c>
      <c r="R50" s="451">
        <v>1</v>
      </c>
      <c r="S50" s="451">
        <v>1</v>
      </c>
      <c r="T50" s="451">
        <v>1</v>
      </c>
      <c r="U50" s="179"/>
      <c r="V50" s="451">
        <v>1</v>
      </c>
      <c r="W50" s="451">
        <v>1</v>
      </c>
      <c r="X50" s="451">
        <v>1</v>
      </c>
      <c r="Y50" s="451">
        <v>1</v>
      </c>
      <c r="Z50" s="451">
        <v>1</v>
      </c>
      <c r="AA50" s="179"/>
      <c r="AB50" s="451">
        <v>1</v>
      </c>
      <c r="AC50" s="451">
        <v>1</v>
      </c>
      <c r="AD50" s="451">
        <v>1</v>
      </c>
      <c r="AE50" s="451">
        <v>1</v>
      </c>
      <c r="AF50" s="451">
        <v>1</v>
      </c>
      <c r="AG50" s="179"/>
      <c r="AH50" s="451">
        <v>1</v>
      </c>
    </row>
    <row r="51" spans="1:34" x14ac:dyDescent="0.2">
      <c r="A51" s="469"/>
      <c r="B51" s="465"/>
      <c r="C51" s="465"/>
      <c r="D51" s="251"/>
      <c r="E51" s="451"/>
      <c r="F51" s="451"/>
      <c r="G51" s="451"/>
      <c r="H51" s="451"/>
      <c r="I51" s="460"/>
      <c r="J51" s="451"/>
      <c r="K51" s="451"/>
      <c r="L51" s="451"/>
      <c r="M51" s="451"/>
      <c r="N51" s="451"/>
      <c r="O51" s="179"/>
      <c r="P51" s="451"/>
      <c r="Q51" s="451"/>
      <c r="R51" s="451"/>
      <c r="S51" s="451"/>
      <c r="T51" s="451"/>
      <c r="U51" s="179"/>
      <c r="V51" s="451"/>
      <c r="W51" s="451"/>
      <c r="X51" s="451"/>
      <c r="Y51" s="451"/>
      <c r="Z51" s="451"/>
      <c r="AA51" s="179"/>
      <c r="AB51" s="451"/>
      <c r="AC51" s="451"/>
      <c r="AD51" s="451"/>
      <c r="AE51" s="451"/>
      <c r="AF51" s="451"/>
      <c r="AG51" s="179"/>
      <c r="AH51" s="451"/>
    </row>
    <row r="52" spans="1:34" x14ac:dyDescent="0.2">
      <c r="A52" s="469"/>
      <c r="B52" s="465" t="s">
        <v>40</v>
      </c>
      <c r="C52" s="465" t="s">
        <v>6</v>
      </c>
      <c r="D52" s="251" t="s">
        <v>78</v>
      </c>
      <c r="E52" s="451">
        <v>1</v>
      </c>
      <c r="F52" s="451">
        <v>1</v>
      </c>
      <c r="G52" s="451">
        <v>1</v>
      </c>
      <c r="H52" s="451">
        <v>1</v>
      </c>
      <c r="I52" s="460"/>
      <c r="J52" s="451">
        <v>1</v>
      </c>
      <c r="K52" s="451">
        <v>1</v>
      </c>
      <c r="L52" s="451">
        <v>1</v>
      </c>
      <c r="M52" s="451">
        <v>1</v>
      </c>
      <c r="N52" s="451">
        <v>1</v>
      </c>
      <c r="O52" s="179"/>
      <c r="P52" s="451">
        <v>1</v>
      </c>
      <c r="Q52" s="451">
        <v>1</v>
      </c>
      <c r="R52" s="451">
        <v>1</v>
      </c>
      <c r="S52" s="451">
        <v>1</v>
      </c>
      <c r="T52" s="451">
        <v>1</v>
      </c>
      <c r="U52" s="179"/>
      <c r="V52" s="451">
        <v>1</v>
      </c>
      <c r="W52" s="451">
        <v>1</v>
      </c>
      <c r="X52" s="451">
        <v>1</v>
      </c>
      <c r="Y52" s="451">
        <v>1</v>
      </c>
      <c r="Z52" s="451">
        <v>1</v>
      </c>
      <c r="AA52" s="179"/>
      <c r="AB52" s="451">
        <v>1</v>
      </c>
      <c r="AC52" s="451">
        <v>1</v>
      </c>
      <c r="AD52" s="451">
        <v>1</v>
      </c>
      <c r="AE52" s="451">
        <v>1</v>
      </c>
      <c r="AF52" s="451">
        <v>1</v>
      </c>
      <c r="AG52" s="179"/>
      <c r="AH52" s="451">
        <v>1</v>
      </c>
    </row>
    <row r="53" spans="1:34" x14ac:dyDescent="0.2">
      <c r="A53" s="469"/>
      <c r="B53" s="465"/>
      <c r="C53" s="465"/>
      <c r="D53" s="251"/>
      <c r="E53" s="451"/>
      <c r="F53" s="451"/>
      <c r="G53" s="451"/>
      <c r="H53" s="451"/>
      <c r="I53" s="460"/>
      <c r="J53" s="451"/>
      <c r="K53" s="451"/>
      <c r="L53" s="451"/>
      <c r="M53" s="451"/>
      <c r="N53" s="451"/>
      <c r="O53" s="179"/>
      <c r="P53" s="451"/>
      <c r="Q53" s="451"/>
      <c r="R53" s="451"/>
      <c r="S53" s="451"/>
      <c r="T53" s="451"/>
      <c r="U53" s="179"/>
      <c r="V53" s="451"/>
      <c r="W53" s="451"/>
      <c r="X53" s="451"/>
      <c r="Y53" s="451"/>
      <c r="Z53" s="451"/>
      <c r="AA53" s="179"/>
      <c r="AB53" s="451"/>
      <c r="AC53" s="451"/>
      <c r="AD53" s="451"/>
      <c r="AE53" s="451"/>
      <c r="AF53" s="451"/>
      <c r="AG53" s="179"/>
      <c r="AH53" s="451"/>
    </row>
    <row r="54" spans="1:34" x14ac:dyDescent="0.2">
      <c r="A54" s="469"/>
      <c r="B54" s="465"/>
      <c r="C54" s="465" t="s">
        <v>7</v>
      </c>
      <c r="D54" s="251" t="s">
        <v>78</v>
      </c>
      <c r="E54" s="451">
        <v>1</v>
      </c>
      <c r="F54" s="451">
        <v>1</v>
      </c>
      <c r="G54" s="451">
        <v>1</v>
      </c>
      <c r="H54" s="451">
        <v>1</v>
      </c>
      <c r="I54" s="460"/>
      <c r="J54" s="451">
        <v>1</v>
      </c>
      <c r="K54" s="451">
        <v>1</v>
      </c>
      <c r="L54" s="451">
        <v>1</v>
      </c>
      <c r="M54" s="451">
        <v>1</v>
      </c>
      <c r="N54" s="451">
        <v>1</v>
      </c>
      <c r="O54" s="179"/>
      <c r="P54" s="451">
        <v>1</v>
      </c>
      <c r="Q54" s="451">
        <v>1</v>
      </c>
      <c r="R54" s="451">
        <v>1</v>
      </c>
      <c r="S54" s="451">
        <v>1</v>
      </c>
      <c r="T54" s="451">
        <v>1</v>
      </c>
      <c r="U54" s="179"/>
      <c r="V54" s="451">
        <v>1</v>
      </c>
      <c r="W54" s="451">
        <v>1</v>
      </c>
      <c r="X54" s="451">
        <v>1</v>
      </c>
      <c r="Y54" s="451">
        <v>1</v>
      </c>
      <c r="Z54" s="451">
        <v>1</v>
      </c>
      <c r="AA54" s="179"/>
      <c r="AB54" s="451">
        <v>1</v>
      </c>
      <c r="AC54" s="451">
        <v>1</v>
      </c>
      <c r="AD54" s="451">
        <v>1</v>
      </c>
      <c r="AE54" s="451">
        <v>1</v>
      </c>
      <c r="AF54" s="451">
        <v>1</v>
      </c>
      <c r="AG54" s="179"/>
      <c r="AH54" s="451">
        <v>1</v>
      </c>
    </row>
    <row r="55" spans="1:34" x14ac:dyDescent="0.2">
      <c r="A55" s="469"/>
      <c r="B55" s="465"/>
      <c r="C55" s="465"/>
      <c r="D55" s="251"/>
      <c r="E55" s="451"/>
      <c r="F55" s="451"/>
      <c r="G55" s="451"/>
      <c r="H55" s="451"/>
      <c r="I55" s="460"/>
      <c r="J55" s="451"/>
      <c r="K55" s="451"/>
      <c r="L55" s="451"/>
      <c r="M55" s="451"/>
      <c r="N55" s="451"/>
      <c r="O55" s="179"/>
      <c r="P55" s="451"/>
      <c r="Q55" s="451"/>
      <c r="R55" s="451"/>
      <c r="S55" s="451"/>
      <c r="T55" s="451"/>
      <c r="U55" s="179"/>
      <c r="V55" s="451"/>
      <c r="W55" s="451"/>
      <c r="X55" s="451"/>
      <c r="Y55" s="451"/>
      <c r="Z55" s="451"/>
      <c r="AA55" s="179"/>
      <c r="AB55" s="451"/>
      <c r="AC55" s="451"/>
      <c r="AD55" s="451"/>
      <c r="AE55" s="451"/>
      <c r="AF55" s="451"/>
      <c r="AG55" s="179"/>
      <c r="AH55" s="451"/>
    </row>
    <row r="56" spans="1:34" x14ac:dyDescent="0.2">
      <c r="A56" s="469"/>
      <c r="B56" s="465"/>
      <c r="C56" s="465" t="s">
        <v>8</v>
      </c>
      <c r="D56" s="251" t="s">
        <v>78</v>
      </c>
      <c r="E56" s="451">
        <v>1</v>
      </c>
      <c r="F56" s="451">
        <v>1</v>
      </c>
      <c r="G56" s="451">
        <v>1</v>
      </c>
      <c r="H56" s="451">
        <v>1</v>
      </c>
      <c r="I56" s="460"/>
      <c r="J56" s="451">
        <v>1</v>
      </c>
      <c r="K56" s="451">
        <v>1</v>
      </c>
      <c r="L56" s="451">
        <v>1</v>
      </c>
      <c r="M56" s="451">
        <v>1</v>
      </c>
      <c r="N56" s="451">
        <v>1</v>
      </c>
      <c r="O56" s="179"/>
      <c r="P56" s="451">
        <v>1</v>
      </c>
      <c r="Q56" s="451">
        <v>1</v>
      </c>
      <c r="R56" s="451">
        <v>1</v>
      </c>
      <c r="S56" s="451">
        <v>1</v>
      </c>
      <c r="T56" s="451">
        <v>1</v>
      </c>
      <c r="U56" s="179"/>
      <c r="V56" s="451">
        <v>1</v>
      </c>
      <c r="W56" s="451">
        <v>1</v>
      </c>
      <c r="X56" s="451">
        <v>1</v>
      </c>
      <c r="Y56" s="451">
        <v>1</v>
      </c>
      <c r="Z56" s="451">
        <v>1</v>
      </c>
      <c r="AA56" s="179"/>
      <c r="AB56" s="451">
        <v>1</v>
      </c>
      <c r="AC56" s="451">
        <v>1</v>
      </c>
      <c r="AD56" s="451">
        <v>1</v>
      </c>
      <c r="AE56" s="451">
        <v>1</v>
      </c>
      <c r="AF56" s="451">
        <v>1</v>
      </c>
      <c r="AG56" s="179"/>
      <c r="AH56" s="451">
        <v>1</v>
      </c>
    </row>
    <row r="57" spans="1:34" x14ac:dyDescent="0.2">
      <c r="A57" s="469"/>
      <c r="B57" s="465"/>
      <c r="C57" s="465"/>
      <c r="D57" s="251"/>
      <c r="E57" s="451"/>
      <c r="F57" s="451"/>
      <c r="G57" s="451"/>
      <c r="H57" s="451"/>
      <c r="I57" s="460"/>
      <c r="J57" s="451"/>
      <c r="K57" s="451"/>
      <c r="L57" s="451"/>
      <c r="M57" s="451"/>
      <c r="N57" s="451"/>
      <c r="O57" s="179"/>
      <c r="P57" s="451"/>
      <c r="Q57" s="451"/>
      <c r="R57" s="451"/>
      <c r="S57" s="451"/>
      <c r="T57" s="451"/>
      <c r="U57" s="179"/>
      <c r="V57" s="451"/>
      <c r="W57" s="451"/>
      <c r="X57" s="451"/>
      <c r="Y57" s="451"/>
      <c r="Z57" s="451"/>
      <c r="AA57" s="179"/>
      <c r="AB57" s="451"/>
      <c r="AC57" s="451"/>
      <c r="AD57" s="451"/>
      <c r="AE57" s="451"/>
      <c r="AF57" s="451"/>
      <c r="AG57" s="179"/>
      <c r="AH57" s="451"/>
    </row>
    <row r="58" spans="1:34" x14ac:dyDescent="0.2">
      <c r="A58" s="176">
        <v>1.3</v>
      </c>
      <c r="B58" s="462" t="s">
        <v>13</v>
      </c>
      <c r="C58" s="462"/>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row>
    <row r="59" spans="1:34" ht="28.8" customHeight="1" x14ac:dyDescent="0.2">
      <c r="A59" s="469"/>
      <c r="B59" s="465" t="s">
        <v>77</v>
      </c>
      <c r="C59" s="465"/>
      <c r="D59" s="251" t="s">
        <v>78</v>
      </c>
      <c r="E59" s="451">
        <v>1</v>
      </c>
      <c r="F59" s="451">
        <v>1</v>
      </c>
      <c r="G59" s="451">
        <v>1</v>
      </c>
      <c r="H59" s="451">
        <v>1</v>
      </c>
      <c r="I59" s="460"/>
      <c r="J59" s="451">
        <v>1</v>
      </c>
      <c r="K59" s="451">
        <v>1</v>
      </c>
      <c r="L59" s="451">
        <v>1</v>
      </c>
      <c r="M59" s="451">
        <v>1</v>
      </c>
      <c r="N59" s="451">
        <v>1</v>
      </c>
      <c r="O59" s="179"/>
      <c r="P59" s="451">
        <v>1</v>
      </c>
      <c r="Q59" s="451">
        <v>1</v>
      </c>
      <c r="R59" s="451">
        <v>1</v>
      </c>
      <c r="S59" s="451">
        <v>1</v>
      </c>
      <c r="T59" s="451">
        <v>1</v>
      </c>
      <c r="U59" s="179"/>
      <c r="V59" s="451">
        <v>1</v>
      </c>
      <c r="W59" s="451">
        <v>1</v>
      </c>
      <c r="X59" s="451">
        <v>1</v>
      </c>
      <c r="Y59" s="451">
        <v>1</v>
      </c>
      <c r="Z59" s="451">
        <v>1</v>
      </c>
      <c r="AA59" s="179"/>
      <c r="AB59" s="451">
        <v>1</v>
      </c>
      <c r="AC59" s="451">
        <v>1</v>
      </c>
      <c r="AD59" s="451">
        <v>1</v>
      </c>
      <c r="AE59" s="451">
        <v>1</v>
      </c>
      <c r="AF59" s="451">
        <v>1</v>
      </c>
      <c r="AG59" s="179"/>
      <c r="AH59" s="451">
        <v>1</v>
      </c>
    </row>
    <row r="60" spans="1:34" x14ac:dyDescent="0.2">
      <c r="A60" s="469"/>
      <c r="B60" s="465"/>
      <c r="C60" s="465"/>
      <c r="D60" s="251"/>
      <c r="E60" s="451"/>
      <c r="F60" s="451"/>
      <c r="G60" s="451"/>
      <c r="H60" s="451"/>
      <c r="I60" s="460">
        <f>E60+F60+G60+H60</f>
        <v>0</v>
      </c>
      <c r="J60" s="451"/>
      <c r="K60" s="451"/>
      <c r="L60" s="451"/>
      <c r="M60" s="451"/>
      <c r="N60" s="451"/>
      <c r="O60" s="179"/>
      <c r="P60" s="451"/>
      <c r="Q60" s="451"/>
      <c r="R60" s="451"/>
      <c r="S60" s="451"/>
      <c r="T60" s="451"/>
      <c r="U60" s="179"/>
      <c r="V60" s="451"/>
      <c r="W60" s="451"/>
      <c r="X60" s="451"/>
      <c r="Y60" s="451"/>
      <c r="Z60" s="451"/>
      <c r="AA60" s="179"/>
      <c r="AB60" s="451"/>
      <c r="AC60" s="451"/>
      <c r="AD60" s="451"/>
      <c r="AE60" s="451"/>
      <c r="AF60" s="451"/>
      <c r="AG60" s="179"/>
      <c r="AH60" s="451"/>
    </row>
    <row r="61" spans="1:34" x14ac:dyDescent="0.2">
      <c r="A61" s="469"/>
      <c r="B61" s="465" t="s">
        <v>118</v>
      </c>
      <c r="C61" s="465"/>
      <c r="D61" s="251" t="s">
        <v>78</v>
      </c>
      <c r="E61" s="451">
        <v>1</v>
      </c>
      <c r="F61" s="451">
        <v>1</v>
      </c>
      <c r="G61" s="451">
        <v>1</v>
      </c>
      <c r="H61" s="451">
        <v>1</v>
      </c>
      <c r="I61" s="460"/>
      <c r="J61" s="451">
        <v>1</v>
      </c>
      <c r="K61" s="451">
        <v>1</v>
      </c>
      <c r="L61" s="451">
        <v>1</v>
      </c>
      <c r="M61" s="451">
        <v>1</v>
      </c>
      <c r="N61" s="451">
        <v>1</v>
      </c>
      <c r="O61" s="179"/>
      <c r="P61" s="451">
        <v>1</v>
      </c>
      <c r="Q61" s="451">
        <v>1</v>
      </c>
      <c r="R61" s="451">
        <v>1</v>
      </c>
      <c r="S61" s="451">
        <v>1</v>
      </c>
      <c r="T61" s="451">
        <v>1</v>
      </c>
      <c r="U61" s="179"/>
      <c r="V61" s="451">
        <v>1</v>
      </c>
      <c r="W61" s="451">
        <v>1</v>
      </c>
      <c r="X61" s="451">
        <v>1</v>
      </c>
      <c r="Y61" s="451">
        <v>1</v>
      </c>
      <c r="Z61" s="451">
        <v>1</v>
      </c>
      <c r="AA61" s="179"/>
      <c r="AB61" s="451">
        <v>1</v>
      </c>
      <c r="AC61" s="451">
        <v>1</v>
      </c>
      <c r="AD61" s="451">
        <v>1</v>
      </c>
      <c r="AE61" s="451">
        <v>1</v>
      </c>
      <c r="AF61" s="451">
        <v>1</v>
      </c>
      <c r="AG61" s="179"/>
      <c r="AH61" s="451">
        <v>1</v>
      </c>
    </row>
    <row r="62" spans="1:34" x14ac:dyDescent="0.2">
      <c r="A62" s="469"/>
      <c r="B62" s="465"/>
      <c r="C62" s="465"/>
      <c r="D62" s="251"/>
      <c r="E62" s="451"/>
      <c r="F62" s="451"/>
      <c r="G62" s="451"/>
      <c r="H62" s="451"/>
      <c r="I62" s="460">
        <f>F62</f>
        <v>0</v>
      </c>
      <c r="J62" s="451"/>
      <c r="K62" s="451"/>
      <c r="L62" s="451"/>
      <c r="M62" s="451"/>
      <c r="N62" s="451"/>
      <c r="O62" s="179"/>
      <c r="P62" s="451"/>
      <c r="Q62" s="451"/>
      <c r="R62" s="451"/>
      <c r="S62" s="451"/>
      <c r="T62" s="451"/>
      <c r="U62" s="179"/>
      <c r="V62" s="451"/>
      <c r="W62" s="451"/>
      <c r="X62" s="451"/>
      <c r="Y62" s="451"/>
      <c r="Z62" s="451"/>
      <c r="AA62" s="179"/>
      <c r="AB62" s="451"/>
      <c r="AC62" s="451"/>
      <c r="AD62" s="451"/>
      <c r="AE62" s="451"/>
      <c r="AF62" s="451"/>
      <c r="AG62" s="179"/>
      <c r="AH62" s="451"/>
    </row>
    <row r="63" spans="1:34" x14ac:dyDescent="0.2">
      <c r="A63" s="469"/>
      <c r="B63" s="465" t="s">
        <v>120</v>
      </c>
      <c r="C63" s="465"/>
      <c r="D63" s="251" t="s">
        <v>78</v>
      </c>
      <c r="E63" s="454">
        <v>2.5000000000000001E-3</v>
      </c>
      <c r="F63" s="454">
        <v>2.5000000000000001E-3</v>
      </c>
      <c r="G63" s="454">
        <v>2.5000000000000001E-3</v>
      </c>
      <c r="H63" s="454">
        <v>2.5000000000000001E-3</v>
      </c>
      <c r="I63" s="179"/>
      <c r="J63" s="454">
        <v>2.5000000000000001E-3</v>
      </c>
      <c r="K63" s="454">
        <v>2.3999999999999998E-3</v>
      </c>
      <c r="L63" s="454">
        <v>2.3999999999999998E-3</v>
      </c>
      <c r="M63" s="454">
        <v>2.3999999999999998E-3</v>
      </c>
      <c r="N63" s="454">
        <v>2.3999999999999998E-3</v>
      </c>
      <c r="O63" s="179"/>
      <c r="P63" s="454">
        <v>2.3999999999999998E-3</v>
      </c>
      <c r="Q63" s="454">
        <v>2.3E-3</v>
      </c>
      <c r="R63" s="454">
        <v>2.3E-3</v>
      </c>
      <c r="S63" s="454">
        <v>2.3E-3</v>
      </c>
      <c r="T63" s="454">
        <v>2.3E-3</v>
      </c>
      <c r="U63" s="179"/>
      <c r="V63" s="454">
        <v>2.3E-3</v>
      </c>
      <c r="W63" s="454">
        <v>2.2000000000000001E-3</v>
      </c>
      <c r="X63" s="454">
        <v>2.2000000000000001E-3</v>
      </c>
      <c r="Y63" s="454">
        <v>2.2000000000000001E-3</v>
      </c>
      <c r="Z63" s="454">
        <v>2.2000000000000001E-3</v>
      </c>
      <c r="AA63" s="179"/>
      <c r="AB63" s="454">
        <v>2.2000000000000001E-3</v>
      </c>
      <c r="AC63" s="454">
        <v>2E-3</v>
      </c>
      <c r="AD63" s="454">
        <v>2E-3</v>
      </c>
      <c r="AE63" s="454">
        <v>2E-3</v>
      </c>
      <c r="AF63" s="454">
        <v>2E-3</v>
      </c>
      <c r="AG63" s="179"/>
      <c r="AH63" s="454">
        <v>2E-3</v>
      </c>
    </row>
    <row r="64" spans="1:34" ht="24" customHeight="1" x14ac:dyDescent="0.2">
      <c r="A64" s="469"/>
      <c r="B64" s="294"/>
      <c r="C64" s="294"/>
      <c r="D64" s="251"/>
      <c r="E64" s="460"/>
      <c r="F64" s="460"/>
      <c r="G64" s="460"/>
      <c r="H64" s="460"/>
      <c r="I64" s="179"/>
      <c r="J64" s="460"/>
      <c r="K64" s="454"/>
      <c r="L64" s="454"/>
      <c r="M64" s="454"/>
      <c r="N64" s="454"/>
      <c r="O64" s="179"/>
      <c r="P64" s="454"/>
      <c r="Q64" s="454"/>
      <c r="R64" s="454"/>
      <c r="S64" s="454"/>
      <c r="T64" s="454"/>
      <c r="U64" s="179"/>
      <c r="V64" s="454"/>
      <c r="W64" s="454"/>
      <c r="X64" s="454"/>
      <c r="Y64" s="454"/>
      <c r="Z64" s="454"/>
      <c r="AA64" s="179"/>
      <c r="AB64" s="454"/>
      <c r="AC64" s="460"/>
      <c r="AD64" s="460"/>
      <c r="AE64" s="460"/>
      <c r="AF64" s="460"/>
      <c r="AG64" s="179"/>
      <c r="AH64" s="460"/>
    </row>
    <row r="65" spans="1:34" x14ac:dyDescent="0.2">
      <c r="A65" s="469"/>
      <c r="B65" s="465" t="s">
        <v>14</v>
      </c>
      <c r="C65" s="465"/>
      <c r="D65" s="251" t="s">
        <v>78</v>
      </c>
      <c r="E65" s="451">
        <v>0.25</v>
      </c>
      <c r="F65" s="451">
        <v>0.25</v>
      </c>
      <c r="G65" s="451">
        <v>0.25</v>
      </c>
      <c r="H65" s="451">
        <v>0.25</v>
      </c>
      <c r="I65" s="179"/>
      <c r="J65" s="451">
        <v>0.25</v>
      </c>
      <c r="K65" s="451">
        <v>0.24</v>
      </c>
      <c r="L65" s="451">
        <v>0.24</v>
      </c>
      <c r="M65" s="451">
        <v>0.24</v>
      </c>
      <c r="N65" s="451">
        <v>0.24</v>
      </c>
      <c r="O65" s="179"/>
      <c r="P65" s="451">
        <v>0.24</v>
      </c>
      <c r="Q65" s="451">
        <v>0.23</v>
      </c>
      <c r="R65" s="451">
        <v>0.23</v>
      </c>
      <c r="S65" s="451">
        <v>0.23</v>
      </c>
      <c r="T65" s="451">
        <v>0.23</v>
      </c>
      <c r="U65" s="179"/>
      <c r="V65" s="451">
        <v>0.23</v>
      </c>
      <c r="W65" s="451">
        <v>0.22</v>
      </c>
      <c r="X65" s="451">
        <v>0.22</v>
      </c>
      <c r="Y65" s="451">
        <v>0.22</v>
      </c>
      <c r="Z65" s="451">
        <v>0.22</v>
      </c>
      <c r="AA65" s="179"/>
      <c r="AB65" s="451">
        <v>0.22</v>
      </c>
      <c r="AC65" s="451">
        <v>0.2</v>
      </c>
      <c r="AD65" s="451">
        <v>0.2</v>
      </c>
      <c r="AE65" s="451">
        <v>0.2</v>
      </c>
      <c r="AF65" s="451">
        <v>0.2</v>
      </c>
      <c r="AG65" s="179"/>
      <c r="AH65" s="451">
        <v>0.2</v>
      </c>
    </row>
    <row r="66" spans="1:34" x14ac:dyDescent="0.2">
      <c r="A66" s="469"/>
      <c r="B66" s="465"/>
      <c r="C66" s="465"/>
      <c r="D66" s="251"/>
      <c r="E66" s="460"/>
      <c r="F66" s="460"/>
      <c r="G66" s="460"/>
      <c r="H66" s="460"/>
      <c r="I66" s="179"/>
      <c r="J66" s="460"/>
      <c r="K66" s="460"/>
      <c r="L66" s="460"/>
      <c r="M66" s="460"/>
      <c r="N66" s="460"/>
      <c r="O66" s="179"/>
      <c r="P66" s="460"/>
      <c r="Q66" s="460"/>
      <c r="R66" s="460"/>
      <c r="S66" s="460"/>
      <c r="T66" s="460"/>
      <c r="U66" s="179"/>
      <c r="V66" s="460"/>
      <c r="W66" s="460"/>
      <c r="X66" s="460"/>
      <c r="Y66" s="460"/>
      <c r="Z66" s="460"/>
      <c r="AA66" s="179"/>
      <c r="AB66" s="460"/>
      <c r="AC66" s="460"/>
      <c r="AD66" s="460"/>
      <c r="AE66" s="460"/>
      <c r="AF66" s="460"/>
      <c r="AG66" s="179"/>
      <c r="AH66" s="460"/>
    </row>
    <row r="67" spans="1:34" x14ac:dyDescent="0.2">
      <c r="A67" s="469"/>
      <c r="B67" s="478" t="s">
        <v>111</v>
      </c>
      <c r="C67" s="478"/>
      <c r="D67" s="251" t="s">
        <v>78</v>
      </c>
      <c r="E67" s="451">
        <v>1</v>
      </c>
      <c r="F67" s="451">
        <v>1</v>
      </c>
      <c r="G67" s="451">
        <v>1</v>
      </c>
      <c r="H67" s="451">
        <v>1</v>
      </c>
      <c r="I67" s="179"/>
      <c r="J67" s="451">
        <v>1</v>
      </c>
      <c r="K67" s="451">
        <v>1</v>
      </c>
      <c r="L67" s="451">
        <v>1</v>
      </c>
      <c r="M67" s="451">
        <v>1</v>
      </c>
      <c r="N67" s="451">
        <v>1</v>
      </c>
      <c r="O67" s="179"/>
      <c r="P67" s="451">
        <v>1</v>
      </c>
      <c r="Q67" s="451">
        <v>1</v>
      </c>
      <c r="R67" s="451">
        <v>1</v>
      </c>
      <c r="S67" s="451">
        <v>1</v>
      </c>
      <c r="T67" s="451">
        <v>1</v>
      </c>
      <c r="U67" s="179"/>
      <c r="V67" s="451">
        <v>1</v>
      </c>
      <c r="W67" s="451">
        <v>1</v>
      </c>
      <c r="X67" s="451">
        <v>1</v>
      </c>
      <c r="Y67" s="451">
        <v>1</v>
      </c>
      <c r="Z67" s="451">
        <v>1</v>
      </c>
      <c r="AA67" s="179"/>
      <c r="AB67" s="451">
        <v>1</v>
      </c>
      <c r="AC67" s="451">
        <v>1</v>
      </c>
      <c r="AD67" s="451">
        <v>1</v>
      </c>
      <c r="AE67" s="451">
        <v>1</v>
      </c>
      <c r="AF67" s="451">
        <v>1</v>
      </c>
      <c r="AG67" s="179"/>
      <c r="AH67" s="451">
        <v>1</v>
      </c>
    </row>
    <row r="68" spans="1:34" x14ac:dyDescent="0.2">
      <c r="A68" s="469"/>
      <c r="B68" s="478"/>
      <c r="C68" s="478"/>
      <c r="D68" s="251"/>
      <c r="E68" s="451"/>
      <c r="F68" s="451"/>
      <c r="G68" s="451"/>
      <c r="H68" s="451"/>
      <c r="I68" s="179"/>
      <c r="J68" s="451"/>
      <c r="K68" s="451"/>
      <c r="L68" s="451"/>
      <c r="M68" s="451"/>
      <c r="N68" s="451"/>
      <c r="O68" s="179"/>
      <c r="P68" s="451"/>
      <c r="Q68" s="451"/>
      <c r="R68" s="451"/>
      <c r="S68" s="451"/>
      <c r="T68" s="451"/>
      <c r="U68" s="179"/>
      <c r="V68" s="451"/>
      <c r="W68" s="451"/>
      <c r="X68" s="451"/>
      <c r="Y68" s="451"/>
      <c r="Z68" s="451"/>
      <c r="AA68" s="179"/>
      <c r="AB68" s="451"/>
      <c r="AC68" s="451"/>
      <c r="AD68" s="451"/>
      <c r="AE68" s="451"/>
      <c r="AF68" s="451"/>
      <c r="AG68" s="179"/>
      <c r="AH68" s="451"/>
    </row>
    <row r="69" spans="1:34" x14ac:dyDescent="0.2">
      <c r="A69" s="469"/>
      <c r="B69" s="465" t="s">
        <v>15</v>
      </c>
      <c r="C69" s="465"/>
      <c r="D69" s="251" t="s">
        <v>78</v>
      </c>
      <c r="E69" s="454">
        <v>7.0000000000000001E-3</v>
      </c>
      <c r="F69" s="454">
        <v>7.0000000000000001E-3</v>
      </c>
      <c r="G69" s="454">
        <v>7.0000000000000001E-3</v>
      </c>
      <c r="H69" s="454">
        <v>7.0000000000000001E-3</v>
      </c>
      <c r="I69" s="179"/>
      <c r="J69" s="454">
        <v>7.0000000000000001E-3</v>
      </c>
      <c r="K69" s="454">
        <v>6.8999999999999999E-3</v>
      </c>
      <c r="L69" s="454">
        <v>6.8999999999999999E-3</v>
      </c>
      <c r="M69" s="454">
        <v>6.8999999999999999E-3</v>
      </c>
      <c r="N69" s="454">
        <v>6.8999999999999999E-3</v>
      </c>
      <c r="O69" s="179"/>
      <c r="P69" s="454">
        <v>6.8999999999999999E-3</v>
      </c>
      <c r="Q69" s="454">
        <v>6.7999999999999996E-3</v>
      </c>
      <c r="R69" s="454">
        <v>6.7999999999999996E-3</v>
      </c>
      <c r="S69" s="454">
        <v>6.7999999999999996E-3</v>
      </c>
      <c r="T69" s="454">
        <v>6.7999999999999996E-3</v>
      </c>
      <c r="U69" s="179"/>
      <c r="V69" s="454">
        <v>6.7999999999999996E-3</v>
      </c>
      <c r="W69" s="454">
        <v>6.7000000000000002E-3</v>
      </c>
      <c r="X69" s="454">
        <v>6.7000000000000002E-3</v>
      </c>
      <c r="Y69" s="454">
        <v>6.7000000000000002E-3</v>
      </c>
      <c r="Z69" s="454">
        <v>6.7000000000000002E-3</v>
      </c>
      <c r="AA69" s="179"/>
      <c r="AB69" s="454">
        <v>6.7000000000000002E-3</v>
      </c>
      <c r="AC69" s="454">
        <v>6.4999999999999997E-3</v>
      </c>
      <c r="AD69" s="454">
        <v>6.4999999999999997E-3</v>
      </c>
      <c r="AE69" s="454">
        <v>6.4999999999999997E-3</v>
      </c>
      <c r="AF69" s="454">
        <v>6.4999999999999997E-3</v>
      </c>
      <c r="AG69" s="179"/>
      <c r="AH69" s="454">
        <v>6.4999999999999997E-3</v>
      </c>
    </row>
    <row r="70" spans="1:34" x14ac:dyDescent="0.2">
      <c r="A70" s="469"/>
      <c r="B70" s="465"/>
      <c r="C70" s="465"/>
      <c r="D70" s="251"/>
      <c r="E70" s="460"/>
      <c r="F70" s="460"/>
      <c r="G70" s="460"/>
      <c r="H70" s="460"/>
      <c r="I70" s="179"/>
      <c r="J70" s="460"/>
      <c r="K70" s="460"/>
      <c r="L70" s="460"/>
      <c r="M70" s="460"/>
      <c r="N70" s="460"/>
      <c r="O70" s="179"/>
      <c r="P70" s="460"/>
      <c r="Q70" s="460"/>
      <c r="R70" s="460"/>
      <c r="S70" s="460"/>
      <c r="T70" s="460"/>
      <c r="U70" s="179"/>
      <c r="V70" s="460"/>
      <c r="W70" s="460"/>
      <c r="X70" s="460"/>
      <c r="Y70" s="460"/>
      <c r="Z70" s="460"/>
      <c r="AA70" s="179"/>
      <c r="AB70" s="460"/>
      <c r="AC70" s="460"/>
      <c r="AD70" s="460"/>
      <c r="AE70" s="460"/>
      <c r="AF70" s="460"/>
      <c r="AG70" s="179"/>
      <c r="AH70" s="460"/>
    </row>
    <row r="71" spans="1:34" ht="25.8" customHeight="1" x14ac:dyDescent="0.2">
      <c r="A71" s="265"/>
      <c r="B71" s="489" t="s">
        <v>124</v>
      </c>
      <c r="C71" s="489"/>
      <c r="D71" s="295" t="s">
        <v>94</v>
      </c>
      <c r="E71" s="461" t="s">
        <v>125</v>
      </c>
      <c r="F71" s="461" t="s">
        <v>125</v>
      </c>
      <c r="G71" s="461" t="s">
        <v>125</v>
      </c>
      <c r="H71" s="461" t="s">
        <v>125</v>
      </c>
      <c r="I71" s="179"/>
      <c r="J71" s="461" t="s">
        <v>125</v>
      </c>
      <c r="K71" s="461" t="s">
        <v>125</v>
      </c>
      <c r="L71" s="461" t="s">
        <v>125</v>
      </c>
      <c r="M71" s="461" t="s">
        <v>125</v>
      </c>
      <c r="N71" s="461" t="s">
        <v>125</v>
      </c>
      <c r="O71" s="179"/>
      <c r="P71" s="461" t="s">
        <v>125</v>
      </c>
      <c r="Q71" s="461" t="s">
        <v>125</v>
      </c>
      <c r="R71" s="461" t="s">
        <v>125</v>
      </c>
      <c r="S71" s="461" t="s">
        <v>125</v>
      </c>
      <c r="T71" s="461" t="s">
        <v>125</v>
      </c>
      <c r="U71" s="179"/>
      <c r="V71" s="461" t="s">
        <v>125</v>
      </c>
      <c r="W71" s="461" t="s">
        <v>125</v>
      </c>
      <c r="X71" s="461" t="s">
        <v>125</v>
      </c>
      <c r="Y71" s="461" t="s">
        <v>125</v>
      </c>
      <c r="Z71" s="461" t="s">
        <v>125</v>
      </c>
      <c r="AA71" s="179"/>
      <c r="AB71" s="461" t="s">
        <v>125</v>
      </c>
      <c r="AC71" s="461" t="s">
        <v>125</v>
      </c>
      <c r="AD71" s="461" t="s">
        <v>125</v>
      </c>
      <c r="AE71" s="461" t="s">
        <v>125</v>
      </c>
      <c r="AF71" s="461" t="s">
        <v>125</v>
      </c>
      <c r="AG71" s="179"/>
      <c r="AH71" s="461" t="s">
        <v>125</v>
      </c>
    </row>
    <row r="72" spans="1:34" ht="25.8" customHeight="1" x14ac:dyDescent="0.2">
      <c r="A72" s="265"/>
      <c r="B72" s="489"/>
      <c r="C72" s="489"/>
      <c r="D72" s="295"/>
      <c r="E72" s="259"/>
      <c r="F72" s="259"/>
      <c r="G72" s="259"/>
      <c r="H72" s="259"/>
      <c r="I72" s="179"/>
      <c r="J72" s="259"/>
      <c r="K72" s="259"/>
      <c r="L72" s="259"/>
      <c r="M72" s="259"/>
      <c r="N72" s="259"/>
      <c r="O72" s="179"/>
      <c r="P72" s="259"/>
      <c r="Q72" s="259"/>
      <c r="R72" s="259"/>
      <c r="S72" s="259"/>
      <c r="T72" s="259"/>
      <c r="U72" s="179"/>
      <c r="V72" s="259"/>
      <c r="W72" s="259"/>
      <c r="X72" s="259"/>
      <c r="Y72" s="259"/>
      <c r="Z72" s="259"/>
      <c r="AA72" s="179"/>
      <c r="AB72" s="259"/>
      <c r="AC72" s="259"/>
      <c r="AD72" s="259"/>
      <c r="AE72" s="259"/>
      <c r="AF72" s="259"/>
      <c r="AG72" s="179"/>
      <c r="AH72" s="259"/>
    </row>
    <row r="73" spans="1:34" x14ac:dyDescent="0.2">
      <c r="A73" s="176">
        <v>1.4</v>
      </c>
      <c r="B73" s="462" t="s">
        <v>16</v>
      </c>
      <c r="C73" s="462"/>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row>
    <row r="74" spans="1:34" x14ac:dyDescent="0.2">
      <c r="A74" s="469"/>
      <c r="B74" s="465" t="s">
        <v>17</v>
      </c>
      <c r="C74" s="465"/>
      <c r="D74" s="252" t="s">
        <v>78</v>
      </c>
      <c r="E74" s="454">
        <v>0.01</v>
      </c>
      <c r="F74" s="454">
        <v>0.01</v>
      </c>
      <c r="G74" s="454">
        <v>0.01</v>
      </c>
      <c r="H74" s="454">
        <v>0.01</v>
      </c>
      <c r="I74" s="188"/>
      <c r="J74" s="454">
        <v>0.01</v>
      </c>
      <c r="K74" s="454">
        <v>9.7999999999999997E-3</v>
      </c>
      <c r="L74" s="454">
        <v>9.7999999999999997E-3</v>
      </c>
      <c r="M74" s="454">
        <v>9.7999999999999997E-3</v>
      </c>
      <c r="N74" s="454">
        <v>9.7999999999999997E-3</v>
      </c>
      <c r="O74" s="187"/>
      <c r="P74" s="454">
        <v>9.7999999999999997E-3</v>
      </c>
      <c r="Q74" s="454">
        <v>9.5999999999999992E-3</v>
      </c>
      <c r="R74" s="454">
        <v>9.5999999999999992E-3</v>
      </c>
      <c r="S74" s="454">
        <v>9.5999999999999992E-3</v>
      </c>
      <c r="T74" s="454">
        <v>9.5999999999999992E-3</v>
      </c>
      <c r="U74" s="187"/>
      <c r="V74" s="454">
        <v>9.5999999999999992E-3</v>
      </c>
      <c r="W74" s="454">
        <v>9.4000000000000004E-3</v>
      </c>
      <c r="X74" s="454">
        <v>9.4000000000000004E-3</v>
      </c>
      <c r="Y74" s="454">
        <v>9.4000000000000004E-3</v>
      </c>
      <c r="Z74" s="454">
        <v>9.4000000000000004E-3</v>
      </c>
      <c r="AA74" s="187"/>
      <c r="AB74" s="454">
        <v>9.4000000000000004E-3</v>
      </c>
      <c r="AC74" s="454">
        <v>9.1999999999999998E-3</v>
      </c>
      <c r="AD74" s="454">
        <v>9.1999999999999998E-3</v>
      </c>
      <c r="AE74" s="454">
        <v>9.1999999999999998E-3</v>
      </c>
      <c r="AF74" s="454">
        <v>9.1999999999999998E-3</v>
      </c>
      <c r="AG74" s="187"/>
      <c r="AH74" s="454">
        <v>9.1999999999999998E-3</v>
      </c>
    </row>
    <row r="75" spans="1:34" x14ac:dyDescent="0.2">
      <c r="A75" s="469"/>
      <c r="B75" s="465"/>
      <c r="C75" s="465"/>
      <c r="D75" s="252"/>
      <c r="E75" s="454"/>
      <c r="F75" s="454"/>
      <c r="G75" s="454"/>
      <c r="H75" s="454"/>
      <c r="I75" s="179"/>
      <c r="J75" s="454"/>
      <c r="K75" s="454"/>
      <c r="L75" s="454"/>
      <c r="M75" s="454"/>
      <c r="N75" s="454"/>
      <c r="O75" s="187"/>
      <c r="P75" s="454"/>
      <c r="Q75" s="454"/>
      <c r="R75" s="454"/>
      <c r="S75" s="454"/>
      <c r="T75" s="454"/>
      <c r="U75" s="187"/>
      <c r="V75" s="454"/>
      <c r="W75" s="454"/>
      <c r="X75" s="454"/>
      <c r="Y75" s="454"/>
      <c r="Z75" s="454"/>
      <c r="AA75" s="187"/>
      <c r="AB75" s="454"/>
      <c r="AC75" s="454"/>
      <c r="AD75" s="454"/>
      <c r="AE75" s="454"/>
      <c r="AF75" s="454"/>
      <c r="AG75" s="187"/>
      <c r="AH75" s="454"/>
    </row>
    <row r="76" spans="1:34" x14ac:dyDescent="0.2">
      <c r="A76" s="469"/>
      <c r="B76" s="477" t="s">
        <v>82</v>
      </c>
      <c r="C76" s="477"/>
      <c r="D76" s="28" t="s">
        <v>78</v>
      </c>
      <c r="E76" s="185">
        <v>0.33</v>
      </c>
      <c r="F76" s="185">
        <v>0.33</v>
      </c>
      <c r="G76" s="185">
        <v>0.33</v>
      </c>
      <c r="H76" s="185">
        <v>0.33</v>
      </c>
      <c r="I76" s="179"/>
      <c r="J76" s="185">
        <v>0.33</v>
      </c>
      <c r="K76" s="185">
        <v>0.33</v>
      </c>
      <c r="L76" s="185">
        <v>0.33</v>
      </c>
      <c r="M76" s="185">
        <v>0.33</v>
      </c>
      <c r="N76" s="185">
        <v>0.33</v>
      </c>
      <c r="O76" s="179"/>
      <c r="P76" s="185">
        <v>0.33</v>
      </c>
      <c r="Q76" s="185">
        <v>0.33</v>
      </c>
      <c r="R76" s="185">
        <v>0.33</v>
      </c>
      <c r="S76" s="185">
        <v>0.33</v>
      </c>
      <c r="T76" s="185">
        <v>0.33</v>
      </c>
      <c r="U76" s="179"/>
      <c r="V76" s="185">
        <v>0.33</v>
      </c>
      <c r="W76" s="185">
        <v>0.33</v>
      </c>
      <c r="X76" s="185">
        <v>0.33</v>
      </c>
      <c r="Y76" s="185">
        <v>0.33</v>
      </c>
      <c r="Z76" s="185">
        <v>0.33</v>
      </c>
      <c r="AA76" s="179"/>
      <c r="AB76" s="185">
        <v>0.33</v>
      </c>
      <c r="AC76" s="185">
        <v>0.33</v>
      </c>
      <c r="AD76" s="185">
        <v>0.33</v>
      </c>
      <c r="AE76" s="185">
        <v>0.33</v>
      </c>
      <c r="AF76" s="185">
        <v>0.33</v>
      </c>
      <c r="AG76" s="179"/>
      <c r="AH76" s="185">
        <v>0.33</v>
      </c>
    </row>
    <row r="77" spans="1:34" x14ac:dyDescent="0.2">
      <c r="A77" s="469"/>
      <c r="B77" s="477" t="s">
        <v>83</v>
      </c>
      <c r="C77" s="477"/>
      <c r="D77" s="28" t="s">
        <v>78</v>
      </c>
      <c r="E77" s="185">
        <v>0.15</v>
      </c>
      <c r="F77" s="185">
        <v>0.15</v>
      </c>
      <c r="G77" s="185">
        <v>0.15</v>
      </c>
      <c r="H77" s="185">
        <v>0.15</v>
      </c>
      <c r="I77" s="179"/>
      <c r="J77" s="185">
        <v>0.15</v>
      </c>
      <c r="K77" s="185">
        <v>0.14000000000000001</v>
      </c>
      <c r="L77" s="185">
        <v>0.14000000000000001</v>
      </c>
      <c r="M77" s="185">
        <v>0.14000000000000001</v>
      </c>
      <c r="N77" s="185">
        <v>0.14000000000000001</v>
      </c>
      <c r="O77" s="179"/>
      <c r="P77" s="185">
        <v>0.14000000000000001</v>
      </c>
      <c r="Q77" s="185">
        <v>0.13</v>
      </c>
      <c r="R77" s="185">
        <v>0.13</v>
      </c>
      <c r="S77" s="185">
        <v>0.13</v>
      </c>
      <c r="T77" s="185">
        <v>0.13</v>
      </c>
      <c r="U77" s="179"/>
      <c r="V77" s="185">
        <v>0.13</v>
      </c>
      <c r="W77" s="185">
        <v>0.12</v>
      </c>
      <c r="X77" s="185">
        <v>0.12</v>
      </c>
      <c r="Y77" s="185">
        <v>0.12</v>
      </c>
      <c r="Z77" s="185">
        <v>0.12</v>
      </c>
      <c r="AA77" s="179"/>
      <c r="AB77" s="185">
        <v>0.12</v>
      </c>
      <c r="AC77" s="185">
        <v>0.1</v>
      </c>
      <c r="AD77" s="185">
        <v>0.1</v>
      </c>
      <c r="AE77" s="185">
        <v>0.1</v>
      </c>
      <c r="AF77" s="185">
        <v>0.1</v>
      </c>
      <c r="AG77" s="179"/>
      <c r="AH77" s="185">
        <v>0.1</v>
      </c>
    </row>
    <row r="78" spans="1:34" x14ac:dyDescent="0.2">
      <c r="A78" s="469"/>
      <c r="B78" s="465" t="s">
        <v>18</v>
      </c>
      <c r="C78" s="465"/>
      <c r="D78" s="272" t="s">
        <v>78</v>
      </c>
      <c r="E78" s="451">
        <v>0.85</v>
      </c>
      <c r="F78" s="451">
        <v>0.85</v>
      </c>
      <c r="G78" s="451">
        <v>0.85</v>
      </c>
      <c r="H78" s="451">
        <v>0.85</v>
      </c>
      <c r="I78" s="179"/>
      <c r="J78" s="451">
        <v>0.85</v>
      </c>
      <c r="K78" s="451">
        <v>0.85</v>
      </c>
      <c r="L78" s="451">
        <v>0.85</v>
      </c>
      <c r="M78" s="451">
        <v>0.85</v>
      </c>
      <c r="N78" s="451">
        <v>0.85</v>
      </c>
      <c r="O78" s="179"/>
      <c r="P78" s="451">
        <v>0.85</v>
      </c>
      <c r="Q78" s="451">
        <v>0.85</v>
      </c>
      <c r="R78" s="451">
        <v>0.85</v>
      </c>
      <c r="S78" s="451">
        <v>0.85</v>
      </c>
      <c r="T78" s="451">
        <v>0.85</v>
      </c>
      <c r="U78" s="179"/>
      <c r="V78" s="451">
        <v>0.85</v>
      </c>
      <c r="W78" s="451">
        <v>0.85</v>
      </c>
      <c r="X78" s="451">
        <v>0.85</v>
      </c>
      <c r="Y78" s="451">
        <v>0.85</v>
      </c>
      <c r="Z78" s="451">
        <v>0.85</v>
      </c>
      <c r="AA78" s="179"/>
      <c r="AB78" s="451">
        <v>0.85</v>
      </c>
      <c r="AC78" s="451">
        <v>0.85</v>
      </c>
      <c r="AD78" s="451">
        <v>0.85</v>
      </c>
      <c r="AE78" s="451">
        <v>0.85</v>
      </c>
      <c r="AF78" s="451">
        <v>0.85</v>
      </c>
      <c r="AG78" s="179"/>
      <c r="AH78" s="451">
        <v>0.85</v>
      </c>
    </row>
    <row r="79" spans="1:34" x14ac:dyDescent="0.2">
      <c r="A79" s="469"/>
      <c r="B79" s="465"/>
      <c r="C79" s="465"/>
      <c r="D79" s="251"/>
      <c r="E79" s="451"/>
      <c r="F79" s="451"/>
      <c r="G79" s="451"/>
      <c r="H79" s="451"/>
      <c r="I79" s="179"/>
      <c r="J79" s="451"/>
      <c r="K79" s="451"/>
      <c r="L79" s="451"/>
      <c r="M79" s="451"/>
      <c r="N79" s="451"/>
      <c r="O79" s="179"/>
      <c r="P79" s="451"/>
      <c r="Q79" s="451"/>
      <c r="R79" s="451"/>
      <c r="S79" s="451"/>
      <c r="T79" s="451"/>
      <c r="U79" s="179"/>
      <c r="V79" s="451"/>
      <c r="W79" s="451"/>
      <c r="X79" s="451"/>
      <c r="Y79" s="451"/>
      <c r="Z79" s="451"/>
      <c r="AA79" s="179"/>
      <c r="AB79" s="451"/>
      <c r="AC79" s="451"/>
      <c r="AD79" s="451"/>
      <c r="AE79" s="451"/>
      <c r="AF79" s="451"/>
      <c r="AG79" s="179"/>
      <c r="AH79" s="451"/>
    </row>
    <row r="80" spans="1:34" x14ac:dyDescent="0.2">
      <c r="A80" s="176">
        <v>1.5</v>
      </c>
      <c r="B80" s="462" t="s">
        <v>19</v>
      </c>
      <c r="C80" s="462"/>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34" x14ac:dyDescent="0.2">
      <c r="A81" s="189" t="s">
        <v>41</v>
      </c>
      <c r="B81" s="462" t="s">
        <v>20</v>
      </c>
      <c r="C81" s="462"/>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row>
    <row r="82" spans="1:34" ht="80.400000000000006" customHeight="1" x14ac:dyDescent="0.2">
      <c r="A82" s="469"/>
      <c r="B82" s="182" t="s">
        <v>95</v>
      </c>
      <c r="C82" s="34"/>
      <c r="D82" s="24" t="s">
        <v>135</v>
      </c>
      <c r="E82" s="190">
        <v>2</v>
      </c>
      <c r="F82" s="190">
        <v>2</v>
      </c>
      <c r="G82" s="190">
        <v>2</v>
      </c>
      <c r="H82" s="190">
        <v>4</v>
      </c>
      <c r="I82" s="190"/>
      <c r="J82" s="190">
        <v>10</v>
      </c>
      <c r="K82" s="190">
        <v>2</v>
      </c>
      <c r="L82" s="190">
        <v>2</v>
      </c>
      <c r="M82" s="190">
        <v>2</v>
      </c>
      <c r="N82" s="190">
        <v>4</v>
      </c>
      <c r="O82" s="191"/>
      <c r="P82" s="190">
        <v>10</v>
      </c>
      <c r="Q82" s="190">
        <v>2</v>
      </c>
      <c r="R82" s="190">
        <v>2</v>
      </c>
      <c r="S82" s="190">
        <v>2</v>
      </c>
      <c r="T82" s="190">
        <v>4</v>
      </c>
      <c r="U82" s="190"/>
      <c r="V82" s="190">
        <v>10</v>
      </c>
      <c r="W82" s="190">
        <v>2</v>
      </c>
      <c r="X82" s="190">
        <v>2</v>
      </c>
      <c r="Y82" s="190">
        <v>2</v>
      </c>
      <c r="Z82" s="190">
        <v>4</v>
      </c>
      <c r="AA82" s="191"/>
      <c r="AB82" s="190">
        <v>10</v>
      </c>
      <c r="AC82" s="190">
        <v>2</v>
      </c>
      <c r="AD82" s="190">
        <v>2</v>
      </c>
      <c r="AE82" s="190">
        <v>2</v>
      </c>
      <c r="AF82" s="190">
        <v>4</v>
      </c>
      <c r="AG82" s="190"/>
      <c r="AH82" s="190">
        <v>10</v>
      </c>
    </row>
    <row r="83" spans="1:34" x14ac:dyDescent="0.2">
      <c r="A83" s="469"/>
      <c r="B83" s="465" t="s">
        <v>84</v>
      </c>
      <c r="C83" s="475" t="s">
        <v>6</v>
      </c>
      <c r="D83" s="272" t="s">
        <v>78</v>
      </c>
      <c r="E83" s="451">
        <v>0.5</v>
      </c>
      <c r="F83" s="451">
        <v>0.5</v>
      </c>
      <c r="G83" s="451">
        <v>0.5</v>
      </c>
      <c r="H83" s="451">
        <v>0.5</v>
      </c>
      <c r="I83" s="188"/>
      <c r="J83" s="451">
        <v>0.5</v>
      </c>
      <c r="K83" s="451">
        <v>0.49</v>
      </c>
      <c r="L83" s="451">
        <v>0.49</v>
      </c>
      <c r="M83" s="451">
        <v>0.49</v>
      </c>
      <c r="N83" s="451">
        <v>0.49</v>
      </c>
      <c r="O83" s="188"/>
      <c r="P83" s="451">
        <v>0.49</v>
      </c>
      <c r="Q83" s="451">
        <v>0.48</v>
      </c>
      <c r="R83" s="451">
        <v>0.48</v>
      </c>
      <c r="S83" s="451">
        <v>0.48</v>
      </c>
      <c r="T83" s="451">
        <v>0.48</v>
      </c>
      <c r="U83" s="188"/>
      <c r="V83" s="451">
        <v>0.48</v>
      </c>
      <c r="W83" s="451">
        <v>0.47</v>
      </c>
      <c r="X83" s="451">
        <v>0.47</v>
      </c>
      <c r="Y83" s="451">
        <v>0.47</v>
      </c>
      <c r="Z83" s="451">
        <v>0.47</v>
      </c>
      <c r="AA83" s="186"/>
      <c r="AB83" s="451">
        <v>0.47</v>
      </c>
      <c r="AC83" s="451">
        <v>0.45</v>
      </c>
      <c r="AD83" s="451">
        <v>0.45</v>
      </c>
      <c r="AE83" s="451">
        <v>0.45</v>
      </c>
      <c r="AF83" s="451">
        <v>0.45</v>
      </c>
      <c r="AG83" s="188"/>
      <c r="AH83" s="451">
        <v>0.45</v>
      </c>
    </row>
    <row r="84" spans="1:34" x14ac:dyDescent="0.2">
      <c r="A84" s="469"/>
      <c r="B84" s="465"/>
      <c r="C84" s="475"/>
      <c r="D84" s="251"/>
      <c r="E84" s="451"/>
      <c r="F84" s="451"/>
      <c r="G84" s="451"/>
      <c r="H84" s="451"/>
      <c r="I84" s="188"/>
      <c r="J84" s="451"/>
      <c r="K84" s="451"/>
      <c r="L84" s="451"/>
      <c r="M84" s="451"/>
      <c r="N84" s="451"/>
      <c r="O84" s="188"/>
      <c r="P84" s="451"/>
      <c r="Q84" s="451"/>
      <c r="R84" s="451"/>
      <c r="S84" s="451"/>
      <c r="T84" s="451"/>
      <c r="U84" s="188"/>
      <c r="V84" s="451"/>
      <c r="W84" s="451"/>
      <c r="X84" s="451"/>
      <c r="Y84" s="451"/>
      <c r="Z84" s="451"/>
      <c r="AA84" s="186"/>
      <c r="AB84" s="451"/>
      <c r="AC84" s="451"/>
      <c r="AD84" s="451"/>
      <c r="AE84" s="451"/>
      <c r="AF84" s="451"/>
      <c r="AG84" s="188"/>
      <c r="AH84" s="451"/>
    </row>
    <row r="85" spans="1:34" x14ac:dyDescent="0.2">
      <c r="A85" s="469"/>
      <c r="B85" s="465"/>
      <c r="C85" s="475" t="s">
        <v>7</v>
      </c>
      <c r="D85" s="272" t="s">
        <v>78</v>
      </c>
      <c r="E85" s="451">
        <v>0.25</v>
      </c>
      <c r="F85" s="451">
        <v>0.25</v>
      </c>
      <c r="G85" s="451">
        <v>0.25</v>
      </c>
      <c r="H85" s="451">
        <v>0.25</v>
      </c>
      <c r="I85" s="188"/>
      <c r="J85" s="451">
        <v>0.25</v>
      </c>
      <c r="K85" s="451">
        <v>0.24</v>
      </c>
      <c r="L85" s="451">
        <v>0.24</v>
      </c>
      <c r="M85" s="451">
        <v>0.24</v>
      </c>
      <c r="N85" s="451">
        <v>0.24</v>
      </c>
      <c r="O85" s="188"/>
      <c r="P85" s="451">
        <v>0.24</v>
      </c>
      <c r="Q85" s="451">
        <v>0.23</v>
      </c>
      <c r="R85" s="451">
        <v>0.23</v>
      </c>
      <c r="S85" s="451">
        <v>0.23</v>
      </c>
      <c r="T85" s="451">
        <v>0.23</v>
      </c>
      <c r="U85" s="188"/>
      <c r="V85" s="451">
        <v>0.23</v>
      </c>
      <c r="W85" s="451">
        <v>0.22</v>
      </c>
      <c r="X85" s="451">
        <v>0.22</v>
      </c>
      <c r="Y85" s="451">
        <v>0.22</v>
      </c>
      <c r="Z85" s="451">
        <v>0.22</v>
      </c>
      <c r="AA85" s="186"/>
      <c r="AB85" s="451">
        <v>0.22</v>
      </c>
      <c r="AC85" s="451">
        <v>0.2</v>
      </c>
      <c r="AD85" s="451">
        <v>0.2</v>
      </c>
      <c r="AE85" s="451">
        <v>0.2</v>
      </c>
      <c r="AF85" s="451">
        <v>0.2</v>
      </c>
      <c r="AG85" s="188"/>
      <c r="AH85" s="451">
        <v>0.2</v>
      </c>
    </row>
    <row r="86" spans="1:34" x14ac:dyDescent="0.2">
      <c r="A86" s="469"/>
      <c r="B86" s="465"/>
      <c r="C86" s="475"/>
      <c r="D86" s="251"/>
      <c r="E86" s="451"/>
      <c r="F86" s="451"/>
      <c r="G86" s="451"/>
      <c r="H86" s="451"/>
      <c r="I86" s="188"/>
      <c r="J86" s="451"/>
      <c r="K86" s="451"/>
      <c r="L86" s="451"/>
      <c r="M86" s="451"/>
      <c r="N86" s="451"/>
      <c r="O86" s="188"/>
      <c r="P86" s="451"/>
      <c r="Q86" s="451"/>
      <c r="R86" s="451"/>
      <c r="S86" s="451"/>
      <c r="T86" s="451"/>
      <c r="U86" s="188"/>
      <c r="V86" s="451"/>
      <c r="W86" s="451"/>
      <c r="X86" s="451"/>
      <c r="Y86" s="451"/>
      <c r="Z86" s="451"/>
      <c r="AA86" s="186"/>
      <c r="AB86" s="451"/>
      <c r="AC86" s="451"/>
      <c r="AD86" s="451"/>
      <c r="AE86" s="451"/>
      <c r="AF86" s="451"/>
      <c r="AG86" s="188"/>
      <c r="AH86" s="451"/>
    </row>
    <row r="87" spans="1:34" x14ac:dyDescent="0.2">
      <c r="A87" s="469"/>
      <c r="B87" s="465"/>
      <c r="C87" s="475" t="s">
        <v>8</v>
      </c>
      <c r="D87" s="272" t="s">
        <v>78</v>
      </c>
      <c r="E87" s="451">
        <v>0.3</v>
      </c>
      <c r="F87" s="451">
        <v>0.3</v>
      </c>
      <c r="G87" s="451">
        <v>0.3</v>
      </c>
      <c r="H87" s="451">
        <v>0.3</v>
      </c>
      <c r="I87" s="188"/>
      <c r="J87" s="451">
        <v>0.3</v>
      </c>
      <c r="K87" s="451">
        <v>0.28999999999999998</v>
      </c>
      <c r="L87" s="451">
        <v>0.28999999999999998</v>
      </c>
      <c r="M87" s="451">
        <v>0.28999999999999998</v>
      </c>
      <c r="N87" s="451">
        <v>0.28999999999999998</v>
      </c>
      <c r="O87" s="188"/>
      <c r="P87" s="451">
        <v>0.28999999999999998</v>
      </c>
      <c r="Q87" s="451">
        <v>0.28000000000000003</v>
      </c>
      <c r="R87" s="451">
        <v>0.28000000000000003</v>
      </c>
      <c r="S87" s="451">
        <v>0.28000000000000003</v>
      </c>
      <c r="T87" s="451">
        <v>0.28000000000000003</v>
      </c>
      <c r="U87" s="188"/>
      <c r="V87" s="451">
        <v>0.28000000000000003</v>
      </c>
      <c r="W87" s="451">
        <v>0.27</v>
      </c>
      <c r="X87" s="451">
        <v>0.27</v>
      </c>
      <c r="Y87" s="451">
        <v>0.27</v>
      </c>
      <c r="Z87" s="451">
        <v>0.27</v>
      </c>
      <c r="AA87" s="186"/>
      <c r="AB87" s="451">
        <v>0.27</v>
      </c>
      <c r="AC87" s="451">
        <v>0.25</v>
      </c>
      <c r="AD87" s="451">
        <v>0.25</v>
      </c>
      <c r="AE87" s="451">
        <v>0.25</v>
      </c>
      <c r="AF87" s="451">
        <v>0.25</v>
      </c>
      <c r="AG87" s="188"/>
      <c r="AH87" s="451">
        <v>0.25</v>
      </c>
    </row>
    <row r="88" spans="1:34" x14ac:dyDescent="0.2">
      <c r="A88" s="469"/>
      <c r="B88" s="465"/>
      <c r="C88" s="475"/>
      <c r="D88" s="251"/>
      <c r="E88" s="451"/>
      <c r="F88" s="451"/>
      <c r="G88" s="451"/>
      <c r="H88" s="451"/>
      <c r="I88" s="188"/>
      <c r="J88" s="451"/>
      <c r="K88" s="451"/>
      <c r="L88" s="451"/>
      <c r="M88" s="451"/>
      <c r="N88" s="451"/>
      <c r="O88" s="188"/>
      <c r="P88" s="451"/>
      <c r="Q88" s="451"/>
      <c r="R88" s="451"/>
      <c r="S88" s="451"/>
      <c r="T88" s="451"/>
      <c r="U88" s="188"/>
      <c r="V88" s="451"/>
      <c r="W88" s="451"/>
      <c r="X88" s="451"/>
      <c r="Y88" s="451"/>
      <c r="Z88" s="451"/>
      <c r="AA88" s="186"/>
      <c r="AB88" s="451"/>
      <c r="AC88" s="451"/>
      <c r="AD88" s="451"/>
      <c r="AE88" s="451"/>
      <c r="AF88" s="451"/>
      <c r="AG88" s="188"/>
      <c r="AH88" s="451"/>
    </row>
    <row r="89" spans="1:34" x14ac:dyDescent="0.2">
      <c r="A89" s="469"/>
      <c r="B89" s="465" t="s">
        <v>96</v>
      </c>
      <c r="C89" s="475" t="s">
        <v>6</v>
      </c>
      <c r="D89" s="272" t="s">
        <v>78</v>
      </c>
      <c r="E89" s="451">
        <v>0.25</v>
      </c>
      <c r="F89" s="451">
        <v>0.25</v>
      </c>
      <c r="G89" s="451">
        <v>0.25</v>
      </c>
      <c r="H89" s="451">
        <v>0.25</v>
      </c>
      <c r="I89" s="188"/>
      <c r="J89" s="451">
        <v>0.25</v>
      </c>
      <c r="K89" s="451">
        <v>0.24</v>
      </c>
      <c r="L89" s="451">
        <v>0.24</v>
      </c>
      <c r="M89" s="451">
        <v>0.24</v>
      </c>
      <c r="N89" s="451">
        <v>0.24</v>
      </c>
      <c r="O89" s="188"/>
      <c r="P89" s="451">
        <v>0.24</v>
      </c>
      <c r="Q89" s="451">
        <v>0.23</v>
      </c>
      <c r="R89" s="451">
        <v>0.23</v>
      </c>
      <c r="S89" s="451">
        <v>0.23</v>
      </c>
      <c r="T89" s="451">
        <v>0.23</v>
      </c>
      <c r="U89" s="188"/>
      <c r="V89" s="451">
        <v>0.23</v>
      </c>
      <c r="W89" s="451">
        <v>0.22</v>
      </c>
      <c r="X89" s="451">
        <v>0.22</v>
      </c>
      <c r="Y89" s="451">
        <v>0.22</v>
      </c>
      <c r="Z89" s="451">
        <v>0.22</v>
      </c>
      <c r="AA89" s="186"/>
      <c r="AB89" s="451">
        <v>0.22</v>
      </c>
      <c r="AC89" s="451">
        <v>0.2</v>
      </c>
      <c r="AD89" s="451">
        <v>0.2</v>
      </c>
      <c r="AE89" s="451">
        <v>0.2</v>
      </c>
      <c r="AF89" s="451">
        <v>0.2</v>
      </c>
      <c r="AG89" s="188"/>
      <c r="AH89" s="451">
        <v>0.2</v>
      </c>
    </row>
    <row r="90" spans="1:34" x14ac:dyDescent="0.2">
      <c r="A90" s="469"/>
      <c r="B90" s="285"/>
      <c r="C90" s="287"/>
      <c r="D90" s="251"/>
      <c r="E90" s="451"/>
      <c r="F90" s="451"/>
      <c r="G90" s="451"/>
      <c r="H90" s="451"/>
      <c r="I90" s="188"/>
      <c r="J90" s="451"/>
      <c r="K90" s="451"/>
      <c r="L90" s="451"/>
      <c r="M90" s="451"/>
      <c r="N90" s="451"/>
      <c r="O90" s="188"/>
      <c r="P90" s="451"/>
      <c r="Q90" s="451"/>
      <c r="R90" s="451"/>
      <c r="S90" s="451"/>
      <c r="T90" s="451"/>
      <c r="U90" s="188"/>
      <c r="V90" s="451"/>
      <c r="W90" s="451"/>
      <c r="X90" s="451"/>
      <c r="Y90" s="451"/>
      <c r="Z90" s="451"/>
      <c r="AA90" s="186"/>
      <c r="AB90" s="451"/>
      <c r="AC90" s="451"/>
      <c r="AD90" s="451"/>
      <c r="AE90" s="451"/>
      <c r="AF90" s="451"/>
      <c r="AG90" s="188"/>
      <c r="AH90" s="451"/>
    </row>
    <row r="91" spans="1:34" x14ac:dyDescent="0.2">
      <c r="A91" s="469"/>
      <c r="B91" s="285"/>
      <c r="C91" s="475" t="s">
        <v>7</v>
      </c>
      <c r="D91" s="272" t="s">
        <v>78</v>
      </c>
      <c r="E91" s="451">
        <v>0.25</v>
      </c>
      <c r="F91" s="451">
        <v>0.25</v>
      </c>
      <c r="G91" s="451">
        <v>0.25</v>
      </c>
      <c r="H91" s="451">
        <v>0.25</v>
      </c>
      <c r="I91" s="188"/>
      <c r="J91" s="451">
        <v>0.25</v>
      </c>
      <c r="K91" s="451">
        <v>0.24</v>
      </c>
      <c r="L91" s="451">
        <v>0.24</v>
      </c>
      <c r="M91" s="451">
        <v>0.24</v>
      </c>
      <c r="N91" s="451">
        <v>0.24</v>
      </c>
      <c r="O91" s="188"/>
      <c r="P91" s="451">
        <v>0.24</v>
      </c>
      <c r="Q91" s="451">
        <v>0.23</v>
      </c>
      <c r="R91" s="451">
        <v>0.23</v>
      </c>
      <c r="S91" s="451">
        <v>0.23</v>
      </c>
      <c r="T91" s="451">
        <v>0.23</v>
      </c>
      <c r="U91" s="188"/>
      <c r="V91" s="451">
        <v>0.23</v>
      </c>
      <c r="W91" s="451">
        <v>0.22</v>
      </c>
      <c r="X91" s="451">
        <v>0.22</v>
      </c>
      <c r="Y91" s="451">
        <v>0.22</v>
      </c>
      <c r="Z91" s="451">
        <v>0.22</v>
      </c>
      <c r="AA91" s="186"/>
      <c r="AB91" s="451">
        <v>0.22</v>
      </c>
      <c r="AC91" s="451">
        <v>0.2</v>
      </c>
      <c r="AD91" s="451">
        <v>0.2</v>
      </c>
      <c r="AE91" s="451">
        <v>0.2</v>
      </c>
      <c r="AF91" s="451">
        <v>0.2</v>
      </c>
      <c r="AG91" s="188"/>
      <c r="AH91" s="451">
        <v>0.2</v>
      </c>
    </row>
    <row r="92" spans="1:34" x14ac:dyDescent="0.2">
      <c r="A92" s="469"/>
      <c r="B92" s="285"/>
      <c r="C92" s="287"/>
      <c r="D92" s="251"/>
      <c r="E92" s="451"/>
      <c r="F92" s="451"/>
      <c r="G92" s="451"/>
      <c r="H92" s="451"/>
      <c r="I92" s="188"/>
      <c r="J92" s="451"/>
      <c r="K92" s="451"/>
      <c r="L92" s="451"/>
      <c r="M92" s="451"/>
      <c r="N92" s="451"/>
      <c r="O92" s="188"/>
      <c r="P92" s="451"/>
      <c r="Q92" s="451"/>
      <c r="R92" s="451"/>
      <c r="S92" s="451"/>
      <c r="T92" s="451"/>
      <c r="U92" s="188"/>
      <c r="V92" s="451"/>
      <c r="W92" s="451"/>
      <c r="X92" s="451"/>
      <c r="Y92" s="451"/>
      <c r="Z92" s="451"/>
      <c r="AA92" s="186"/>
      <c r="AB92" s="451"/>
      <c r="AC92" s="451"/>
      <c r="AD92" s="451"/>
      <c r="AE92" s="451"/>
      <c r="AF92" s="451"/>
      <c r="AG92" s="188"/>
      <c r="AH92" s="451"/>
    </row>
    <row r="93" spans="1:34" x14ac:dyDescent="0.2">
      <c r="A93" s="469"/>
      <c r="B93" s="285"/>
      <c r="C93" s="475" t="s">
        <v>8</v>
      </c>
      <c r="D93" s="272" t="s">
        <v>78</v>
      </c>
      <c r="E93" s="451">
        <v>0.25</v>
      </c>
      <c r="F93" s="451">
        <v>0.25</v>
      </c>
      <c r="G93" s="451">
        <v>0.25</v>
      </c>
      <c r="H93" s="451">
        <v>0.25</v>
      </c>
      <c r="I93" s="188"/>
      <c r="J93" s="451">
        <v>0.25</v>
      </c>
      <c r="K93" s="451">
        <v>0.24</v>
      </c>
      <c r="L93" s="451">
        <v>0.24</v>
      </c>
      <c r="M93" s="451">
        <v>0.24</v>
      </c>
      <c r="N93" s="451">
        <v>0.24</v>
      </c>
      <c r="O93" s="188"/>
      <c r="P93" s="451">
        <v>0.24</v>
      </c>
      <c r="Q93" s="451">
        <v>0.23</v>
      </c>
      <c r="R93" s="451">
        <v>0.23</v>
      </c>
      <c r="S93" s="451">
        <v>0.23</v>
      </c>
      <c r="T93" s="451">
        <v>0.23</v>
      </c>
      <c r="U93" s="188"/>
      <c r="V93" s="451">
        <v>0.23</v>
      </c>
      <c r="W93" s="451">
        <v>0.22</v>
      </c>
      <c r="X93" s="451">
        <v>0.22</v>
      </c>
      <c r="Y93" s="451">
        <v>0.22</v>
      </c>
      <c r="Z93" s="451">
        <v>0.22</v>
      </c>
      <c r="AA93" s="186"/>
      <c r="AB93" s="451">
        <v>0.22</v>
      </c>
      <c r="AC93" s="451">
        <v>0.2</v>
      </c>
      <c r="AD93" s="451">
        <v>0.2</v>
      </c>
      <c r="AE93" s="451">
        <v>0.2</v>
      </c>
      <c r="AF93" s="451">
        <v>0.2</v>
      </c>
      <c r="AG93" s="188"/>
      <c r="AH93" s="451">
        <v>0.2</v>
      </c>
    </row>
    <row r="94" spans="1:34" x14ac:dyDescent="0.2">
      <c r="A94" s="469"/>
      <c r="B94" s="285"/>
      <c r="C94" s="287"/>
      <c r="D94" s="251"/>
      <c r="E94" s="451"/>
      <c r="F94" s="451"/>
      <c r="G94" s="451"/>
      <c r="H94" s="451"/>
      <c r="I94" s="188"/>
      <c r="J94" s="451"/>
      <c r="K94" s="451"/>
      <c r="L94" s="451"/>
      <c r="M94" s="451"/>
      <c r="N94" s="451"/>
      <c r="O94" s="188"/>
      <c r="P94" s="451"/>
      <c r="Q94" s="451"/>
      <c r="R94" s="451"/>
      <c r="S94" s="451"/>
      <c r="T94" s="451"/>
      <c r="U94" s="188"/>
      <c r="V94" s="451"/>
      <c r="W94" s="451"/>
      <c r="X94" s="451"/>
      <c r="Y94" s="451"/>
      <c r="Z94" s="451"/>
      <c r="AA94" s="186"/>
      <c r="AB94" s="451"/>
      <c r="AC94" s="451"/>
      <c r="AD94" s="451"/>
      <c r="AE94" s="451"/>
      <c r="AF94" s="451"/>
      <c r="AG94" s="188"/>
      <c r="AH94" s="451"/>
    </row>
    <row r="95" spans="1:34" x14ac:dyDescent="0.2">
      <c r="A95" s="469"/>
      <c r="B95" s="465" t="s">
        <v>97</v>
      </c>
      <c r="C95" s="265"/>
      <c r="D95" s="24" t="s">
        <v>135</v>
      </c>
      <c r="E95" s="191">
        <v>13</v>
      </c>
      <c r="F95" s="191">
        <v>13</v>
      </c>
      <c r="G95" s="191">
        <v>13</v>
      </c>
      <c r="H95" s="191">
        <v>13</v>
      </c>
      <c r="I95" s="190"/>
      <c r="J95" s="190">
        <v>52</v>
      </c>
      <c r="K95" s="190">
        <v>13</v>
      </c>
      <c r="L95" s="190">
        <v>13</v>
      </c>
      <c r="M95" s="190">
        <v>13</v>
      </c>
      <c r="N95" s="190">
        <v>13</v>
      </c>
      <c r="O95" s="190"/>
      <c r="P95" s="190">
        <v>52</v>
      </c>
      <c r="Q95" s="190">
        <v>13</v>
      </c>
      <c r="R95" s="190">
        <v>13</v>
      </c>
      <c r="S95" s="190">
        <v>13</v>
      </c>
      <c r="T95" s="190">
        <v>13</v>
      </c>
      <c r="U95" s="190"/>
      <c r="V95" s="190">
        <v>52</v>
      </c>
      <c r="W95" s="190">
        <v>13</v>
      </c>
      <c r="X95" s="190">
        <v>13</v>
      </c>
      <c r="Y95" s="190">
        <v>13</v>
      </c>
      <c r="Z95" s="190">
        <v>13</v>
      </c>
      <c r="AA95" s="191"/>
      <c r="AB95" s="190">
        <v>52</v>
      </c>
      <c r="AC95" s="190">
        <v>13</v>
      </c>
      <c r="AD95" s="190">
        <v>13</v>
      </c>
      <c r="AE95" s="190">
        <v>13</v>
      </c>
      <c r="AF95" s="190">
        <v>13</v>
      </c>
      <c r="AG95" s="190"/>
      <c r="AH95" s="190">
        <v>52</v>
      </c>
    </row>
    <row r="96" spans="1:34" x14ac:dyDescent="0.2">
      <c r="A96" s="469"/>
      <c r="B96" s="465" t="s">
        <v>85</v>
      </c>
      <c r="C96" s="475" t="s">
        <v>6</v>
      </c>
      <c r="D96" s="272" t="s">
        <v>78</v>
      </c>
      <c r="E96" s="451">
        <v>0.5</v>
      </c>
      <c r="F96" s="451">
        <v>0.5</v>
      </c>
      <c r="G96" s="451">
        <v>0.5</v>
      </c>
      <c r="H96" s="451">
        <v>0.5</v>
      </c>
      <c r="I96" s="188"/>
      <c r="J96" s="451">
        <v>0.5</v>
      </c>
      <c r="K96" s="451">
        <v>0.49</v>
      </c>
      <c r="L96" s="451">
        <v>0.49</v>
      </c>
      <c r="M96" s="451">
        <v>0.49</v>
      </c>
      <c r="N96" s="451">
        <v>0.49</v>
      </c>
      <c r="O96" s="188"/>
      <c r="P96" s="451">
        <v>0.49</v>
      </c>
      <c r="Q96" s="451">
        <v>0.48</v>
      </c>
      <c r="R96" s="451">
        <v>0.48</v>
      </c>
      <c r="S96" s="451">
        <v>0.48</v>
      </c>
      <c r="T96" s="451">
        <v>0.48</v>
      </c>
      <c r="U96" s="188"/>
      <c r="V96" s="451">
        <v>0.48</v>
      </c>
      <c r="W96" s="451">
        <v>0.47</v>
      </c>
      <c r="X96" s="451">
        <v>0.47</v>
      </c>
      <c r="Y96" s="451">
        <v>0.47</v>
      </c>
      <c r="Z96" s="451">
        <v>0.47</v>
      </c>
      <c r="AA96" s="186"/>
      <c r="AB96" s="451">
        <v>0.47</v>
      </c>
      <c r="AC96" s="451">
        <v>0.45</v>
      </c>
      <c r="AD96" s="451">
        <v>0.45</v>
      </c>
      <c r="AE96" s="451">
        <v>0.45</v>
      </c>
      <c r="AF96" s="451">
        <v>0.45</v>
      </c>
      <c r="AG96" s="188"/>
      <c r="AH96" s="451">
        <v>0.45</v>
      </c>
    </row>
    <row r="97" spans="1:34" x14ac:dyDescent="0.2">
      <c r="A97" s="469"/>
      <c r="B97" s="465"/>
      <c r="C97" s="475"/>
      <c r="D97" s="251"/>
      <c r="E97" s="451"/>
      <c r="F97" s="451"/>
      <c r="G97" s="451"/>
      <c r="H97" s="451"/>
      <c r="I97" s="188"/>
      <c r="J97" s="451"/>
      <c r="K97" s="451"/>
      <c r="L97" s="451"/>
      <c r="M97" s="451"/>
      <c r="N97" s="451"/>
      <c r="O97" s="188"/>
      <c r="P97" s="451"/>
      <c r="Q97" s="451"/>
      <c r="R97" s="451"/>
      <c r="S97" s="451"/>
      <c r="T97" s="451"/>
      <c r="U97" s="188"/>
      <c r="V97" s="451"/>
      <c r="W97" s="451"/>
      <c r="X97" s="451"/>
      <c r="Y97" s="451"/>
      <c r="Z97" s="451"/>
      <c r="AA97" s="186"/>
      <c r="AB97" s="451"/>
      <c r="AC97" s="451"/>
      <c r="AD97" s="451"/>
      <c r="AE97" s="451"/>
      <c r="AF97" s="451"/>
      <c r="AG97" s="188"/>
      <c r="AH97" s="451"/>
    </row>
    <row r="98" spans="1:34" x14ac:dyDescent="0.2">
      <c r="A98" s="469"/>
      <c r="B98" s="465"/>
      <c r="C98" s="475" t="s">
        <v>7</v>
      </c>
      <c r="D98" s="272" t="s">
        <v>78</v>
      </c>
      <c r="E98" s="451">
        <v>0.25</v>
      </c>
      <c r="F98" s="451">
        <v>0.25</v>
      </c>
      <c r="G98" s="451">
        <v>0.25</v>
      </c>
      <c r="H98" s="451">
        <v>0.25</v>
      </c>
      <c r="I98" s="188"/>
      <c r="J98" s="451">
        <v>0.25</v>
      </c>
      <c r="K98" s="451">
        <v>0.24</v>
      </c>
      <c r="L98" s="451">
        <v>0.24</v>
      </c>
      <c r="M98" s="451">
        <v>0.24</v>
      </c>
      <c r="N98" s="451">
        <v>0.24</v>
      </c>
      <c r="O98" s="188"/>
      <c r="P98" s="451">
        <v>0.24</v>
      </c>
      <c r="Q98" s="451">
        <v>0.23</v>
      </c>
      <c r="R98" s="451">
        <v>0.23</v>
      </c>
      <c r="S98" s="451">
        <v>0.23</v>
      </c>
      <c r="T98" s="451">
        <v>0.23</v>
      </c>
      <c r="U98" s="188"/>
      <c r="V98" s="451">
        <v>0.23</v>
      </c>
      <c r="W98" s="451">
        <v>0.22</v>
      </c>
      <c r="X98" s="451">
        <v>0.22</v>
      </c>
      <c r="Y98" s="451">
        <v>0.22</v>
      </c>
      <c r="Z98" s="451">
        <v>0.22</v>
      </c>
      <c r="AA98" s="186"/>
      <c r="AB98" s="451">
        <v>0.22</v>
      </c>
      <c r="AC98" s="451">
        <v>0.2</v>
      </c>
      <c r="AD98" s="451">
        <v>0.2</v>
      </c>
      <c r="AE98" s="451">
        <v>0.2</v>
      </c>
      <c r="AF98" s="451">
        <v>0.2</v>
      </c>
      <c r="AG98" s="188"/>
      <c r="AH98" s="451">
        <v>0.2</v>
      </c>
    </row>
    <row r="99" spans="1:34" x14ac:dyDescent="0.2">
      <c r="A99" s="469"/>
      <c r="B99" s="465"/>
      <c r="C99" s="475"/>
      <c r="D99" s="251"/>
      <c r="E99" s="451"/>
      <c r="F99" s="451"/>
      <c r="G99" s="451"/>
      <c r="H99" s="451"/>
      <c r="I99" s="188"/>
      <c r="J99" s="451"/>
      <c r="K99" s="451"/>
      <c r="L99" s="451"/>
      <c r="M99" s="451"/>
      <c r="N99" s="451"/>
      <c r="O99" s="188"/>
      <c r="P99" s="451"/>
      <c r="Q99" s="451"/>
      <c r="R99" s="451"/>
      <c r="S99" s="451"/>
      <c r="T99" s="451"/>
      <c r="U99" s="188"/>
      <c r="V99" s="451"/>
      <c r="W99" s="451"/>
      <c r="X99" s="451"/>
      <c r="Y99" s="451"/>
      <c r="Z99" s="451"/>
      <c r="AA99" s="186"/>
      <c r="AB99" s="451"/>
      <c r="AC99" s="451"/>
      <c r="AD99" s="451"/>
      <c r="AE99" s="451"/>
      <c r="AF99" s="451"/>
      <c r="AG99" s="188"/>
      <c r="AH99" s="451"/>
    </row>
    <row r="100" spans="1:34" x14ac:dyDescent="0.2">
      <c r="A100" s="469"/>
      <c r="B100" s="465"/>
      <c r="C100" s="475" t="s">
        <v>8</v>
      </c>
      <c r="D100" s="272" t="s">
        <v>78</v>
      </c>
      <c r="E100" s="451">
        <v>0.3</v>
      </c>
      <c r="F100" s="451">
        <v>0.3</v>
      </c>
      <c r="G100" s="451">
        <v>0.3</v>
      </c>
      <c r="H100" s="451">
        <v>0.3</v>
      </c>
      <c r="I100" s="188"/>
      <c r="J100" s="451">
        <v>0.3</v>
      </c>
      <c r="K100" s="451">
        <v>0.28999999999999998</v>
      </c>
      <c r="L100" s="451">
        <v>0.28999999999999998</v>
      </c>
      <c r="M100" s="451">
        <v>0.28999999999999998</v>
      </c>
      <c r="N100" s="451">
        <v>0.28999999999999998</v>
      </c>
      <c r="O100" s="188"/>
      <c r="P100" s="451">
        <v>0.28999999999999998</v>
      </c>
      <c r="Q100" s="451">
        <v>0.28000000000000003</v>
      </c>
      <c r="R100" s="451">
        <v>0.28000000000000003</v>
      </c>
      <c r="S100" s="451">
        <v>0.28000000000000003</v>
      </c>
      <c r="T100" s="451">
        <v>0.28000000000000003</v>
      </c>
      <c r="U100" s="188"/>
      <c r="V100" s="451">
        <v>0.28000000000000003</v>
      </c>
      <c r="W100" s="451">
        <v>0.27</v>
      </c>
      <c r="X100" s="451">
        <v>0.27</v>
      </c>
      <c r="Y100" s="451">
        <v>0.27</v>
      </c>
      <c r="Z100" s="451">
        <v>0.27</v>
      </c>
      <c r="AA100" s="186"/>
      <c r="AB100" s="451">
        <v>0.27</v>
      </c>
      <c r="AC100" s="451">
        <v>0.25</v>
      </c>
      <c r="AD100" s="451">
        <v>0.25</v>
      </c>
      <c r="AE100" s="451">
        <v>0.25</v>
      </c>
      <c r="AF100" s="451">
        <v>0.25</v>
      </c>
      <c r="AG100" s="188"/>
      <c r="AH100" s="451">
        <v>0.25</v>
      </c>
    </row>
    <row r="101" spans="1:34" x14ac:dyDescent="0.2">
      <c r="A101" s="469"/>
      <c r="B101" s="465"/>
      <c r="C101" s="475"/>
      <c r="D101" s="251"/>
      <c r="E101" s="451"/>
      <c r="F101" s="451"/>
      <c r="G101" s="451"/>
      <c r="H101" s="451"/>
      <c r="I101" s="188"/>
      <c r="J101" s="451"/>
      <c r="K101" s="451"/>
      <c r="L101" s="451"/>
      <c r="M101" s="451"/>
      <c r="N101" s="451"/>
      <c r="O101" s="188"/>
      <c r="P101" s="451"/>
      <c r="Q101" s="451"/>
      <c r="R101" s="451"/>
      <c r="S101" s="451"/>
      <c r="T101" s="451"/>
      <c r="U101" s="188"/>
      <c r="V101" s="451"/>
      <c r="W101" s="451"/>
      <c r="X101" s="451"/>
      <c r="Y101" s="451"/>
      <c r="Z101" s="451"/>
      <c r="AA101" s="186"/>
      <c r="AB101" s="451"/>
      <c r="AC101" s="451"/>
      <c r="AD101" s="451"/>
      <c r="AE101" s="451"/>
      <c r="AF101" s="451"/>
      <c r="AG101" s="188"/>
      <c r="AH101" s="451"/>
    </row>
    <row r="102" spans="1:34" x14ac:dyDescent="0.2">
      <c r="A102" s="469"/>
      <c r="B102" s="465" t="s">
        <v>98</v>
      </c>
      <c r="C102" s="475" t="s">
        <v>6</v>
      </c>
      <c r="D102" s="272" t="s">
        <v>78</v>
      </c>
      <c r="E102" s="451">
        <v>0.25</v>
      </c>
      <c r="F102" s="451">
        <v>0.25</v>
      </c>
      <c r="G102" s="451">
        <v>0.25</v>
      </c>
      <c r="H102" s="451">
        <v>0.25</v>
      </c>
      <c r="I102" s="188"/>
      <c r="J102" s="451">
        <v>0.25</v>
      </c>
      <c r="K102" s="451">
        <v>0.24</v>
      </c>
      <c r="L102" s="451">
        <v>0.24</v>
      </c>
      <c r="M102" s="451">
        <v>0.24</v>
      </c>
      <c r="N102" s="451">
        <v>0.24</v>
      </c>
      <c r="O102" s="188"/>
      <c r="P102" s="451">
        <v>0.24</v>
      </c>
      <c r="Q102" s="451">
        <v>0.23</v>
      </c>
      <c r="R102" s="451">
        <v>0.23</v>
      </c>
      <c r="S102" s="451">
        <v>0.23</v>
      </c>
      <c r="T102" s="451">
        <v>0.23</v>
      </c>
      <c r="U102" s="188"/>
      <c r="V102" s="451">
        <v>0.23</v>
      </c>
      <c r="W102" s="451">
        <v>0.22</v>
      </c>
      <c r="X102" s="451">
        <v>0.22</v>
      </c>
      <c r="Y102" s="451">
        <v>0.22</v>
      </c>
      <c r="Z102" s="451">
        <v>0.22</v>
      </c>
      <c r="AA102" s="186"/>
      <c r="AB102" s="451">
        <v>0.22</v>
      </c>
      <c r="AC102" s="451">
        <v>0.2</v>
      </c>
      <c r="AD102" s="451">
        <v>0.2</v>
      </c>
      <c r="AE102" s="451">
        <v>0.2</v>
      </c>
      <c r="AF102" s="451">
        <v>0.2</v>
      </c>
      <c r="AG102" s="188"/>
      <c r="AH102" s="451">
        <v>0.2</v>
      </c>
    </row>
    <row r="103" spans="1:34" x14ac:dyDescent="0.2">
      <c r="A103" s="469"/>
      <c r="B103" s="287"/>
      <c r="C103" s="287"/>
      <c r="D103" s="251"/>
      <c r="E103" s="451"/>
      <c r="F103" s="451"/>
      <c r="G103" s="451"/>
      <c r="H103" s="451"/>
      <c r="I103" s="188"/>
      <c r="J103" s="451"/>
      <c r="K103" s="451"/>
      <c r="L103" s="451"/>
      <c r="M103" s="451"/>
      <c r="N103" s="451"/>
      <c r="O103" s="188"/>
      <c r="P103" s="451"/>
      <c r="Q103" s="451"/>
      <c r="R103" s="451"/>
      <c r="S103" s="451"/>
      <c r="T103" s="451"/>
      <c r="U103" s="188"/>
      <c r="V103" s="451"/>
      <c r="W103" s="451"/>
      <c r="X103" s="451"/>
      <c r="Y103" s="451"/>
      <c r="Z103" s="451"/>
      <c r="AA103" s="186"/>
      <c r="AB103" s="451"/>
      <c r="AC103" s="451"/>
      <c r="AD103" s="451"/>
      <c r="AE103" s="451"/>
      <c r="AF103" s="451"/>
      <c r="AG103" s="188"/>
      <c r="AH103" s="451"/>
    </row>
    <row r="104" spans="1:34" x14ac:dyDescent="0.2">
      <c r="A104" s="469"/>
      <c r="B104" s="287"/>
      <c r="C104" s="475" t="s">
        <v>7</v>
      </c>
      <c r="D104" s="272" t="s">
        <v>78</v>
      </c>
      <c r="E104" s="451">
        <v>0.25</v>
      </c>
      <c r="F104" s="451">
        <v>0.25</v>
      </c>
      <c r="G104" s="451">
        <v>0.25</v>
      </c>
      <c r="H104" s="451">
        <v>0.25</v>
      </c>
      <c r="I104" s="188"/>
      <c r="J104" s="451">
        <v>0.25</v>
      </c>
      <c r="K104" s="451">
        <v>0.24</v>
      </c>
      <c r="L104" s="451">
        <v>0.24</v>
      </c>
      <c r="M104" s="451">
        <v>0.24</v>
      </c>
      <c r="N104" s="451">
        <v>0.24</v>
      </c>
      <c r="O104" s="188"/>
      <c r="P104" s="451">
        <v>0.24</v>
      </c>
      <c r="Q104" s="451">
        <v>0.23</v>
      </c>
      <c r="R104" s="451">
        <v>0.23</v>
      </c>
      <c r="S104" s="451">
        <v>0.23</v>
      </c>
      <c r="T104" s="451">
        <v>0.23</v>
      </c>
      <c r="U104" s="188"/>
      <c r="V104" s="451">
        <v>0.23</v>
      </c>
      <c r="W104" s="451">
        <v>0.22</v>
      </c>
      <c r="X104" s="451">
        <v>0.22</v>
      </c>
      <c r="Y104" s="451">
        <v>0.22</v>
      </c>
      <c r="Z104" s="451">
        <v>0.22</v>
      </c>
      <c r="AA104" s="186"/>
      <c r="AB104" s="451">
        <v>0.22</v>
      </c>
      <c r="AC104" s="451">
        <v>0.2</v>
      </c>
      <c r="AD104" s="451">
        <v>0.2</v>
      </c>
      <c r="AE104" s="451">
        <v>0.2</v>
      </c>
      <c r="AF104" s="451">
        <v>0.2</v>
      </c>
      <c r="AG104" s="188"/>
      <c r="AH104" s="451">
        <v>0.2</v>
      </c>
    </row>
    <row r="105" spans="1:34" x14ac:dyDescent="0.2">
      <c r="A105" s="469"/>
      <c r="B105" s="287"/>
      <c r="C105" s="287"/>
      <c r="D105" s="251"/>
      <c r="E105" s="451"/>
      <c r="F105" s="451"/>
      <c r="G105" s="451"/>
      <c r="H105" s="451"/>
      <c r="I105" s="188"/>
      <c r="J105" s="451"/>
      <c r="K105" s="451"/>
      <c r="L105" s="451"/>
      <c r="M105" s="451"/>
      <c r="N105" s="451"/>
      <c r="O105" s="188"/>
      <c r="P105" s="451"/>
      <c r="Q105" s="451"/>
      <c r="R105" s="451"/>
      <c r="S105" s="451"/>
      <c r="T105" s="451"/>
      <c r="U105" s="188"/>
      <c r="V105" s="451"/>
      <c r="W105" s="451"/>
      <c r="X105" s="451"/>
      <c r="Y105" s="451"/>
      <c r="Z105" s="451"/>
      <c r="AA105" s="186"/>
      <c r="AB105" s="451"/>
      <c r="AC105" s="451"/>
      <c r="AD105" s="451"/>
      <c r="AE105" s="451"/>
      <c r="AF105" s="451"/>
      <c r="AG105" s="188"/>
      <c r="AH105" s="451"/>
    </row>
    <row r="106" spans="1:34" x14ac:dyDescent="0.2">
      <c r="A106" s="469"/>
      <c r="B106" s="287"/>
      <c r="C106" s="475" t="s">
        <v>8</v>
      </c>
      <c r="D106" s="272" t="s">
        <v>78</v>
      </c>
      <c r="E106" s="451">
        <v>0.25</v>
      </c>
      <c r="F106" s="451">
        <v>0.25</v>
      </c>
      <c r="G106" s="451">
        <v>0.25</v>
      </c>
      <c r="H106" s="451">
        <v>0.25</v>
      </c>
      <c r="I106" s="188"/>
      <c r="J106" s="451">
        <v>0.25</v>
      </c>
      <c r="K106" s="451">
        <v>0.24</v>
      </c>
      <c r="L106" s="451">
        <v>0.24</v>
      </c>
      <c r="M106" s="451">
        <v>0.24</v>
      </c>
      <c r="N106" s="451">
        <v>0.24</v>
      </c>
      <c r="O106" s="188"/>
      <c r="P106" s="451">
        <v>0.24</v>
      </c>
      <c r="Q106" s="451">
        <v>0.23</v>
      </c>
      <c r="R106" s="451">
        <v>0.23</v>
      </c>
      <c r="S106" s="451">
        <v>0.23</v>
      </c>
      <c r="T106" s="451">
        <v>0.23</v>
      </c>
      <c r="U106" s="188"/>
      <c r="V106" s="451">
        <v>0.23</v>
      </c>
      <c r="W106" s="451">
        <v>0.22</v>
      </c>
      <c r="X106" s="451">
        <v>0.22</v>
      </c>
      <c r="Y106" s="451">
        <v>0.22</v>
      </c>
      <c r="Z106" s="451">
        <v>0.22</v>
      </c>
      <c r="AA106" s="186"/>
      <c r="AB106" s="451">
        <v>0.22</v>
      </c>
      <c r="AC106" s="451">
        <v>0.2</v>
      </c>
      <c r="AD106" s="451">
        <v>0.2</v>
      </c>
      <c r="AE106" s="451">
        <v>0.2</v>
      </c>
      <c r="AF106" s="451">
        <v>0.2</v>
      </c>
      <c r="AG106" s="188"/>
      <c r="AH106" s="451">
        <v>0.2</v>
      </c>
    </row>
    <row r="107" spans="1:34" x14ac:dyDescent="0.2">
      <c r="A107" s="469"/>
      <c r="B107" s="287"/>
      <c r="C107" s="287"/>
      <c r="D107" s="251"/>
      <c r="E107" s="451"/>
      <c r="F107" s="451"/>
      <c r="G107" s="451"/>
      <c r="H107" s="451"/>
      <c r="I107" s="188"/>
      <c r="J107" s="451"/>
      <c r="K107" s="451"/>
      <c r="L107" s="451"/>
      <c r="M107" s="451"/>
      <c r="N107" s="451"/>
      <c r="O107" s="188"/>
      <c r="P107" s="451"/>
      <c r="Q107" s="451"/>
      <c r="R107" s="451"/>
      <c r="S107" s="451"/>
      <c r="T107" s="451"/>
      <c r="U107" s="188"/>
      <c r="V107" s="451"/>
      <c r="W107" s="451"/>
      <c r="X107" s="451"/>
      <c r="Y107" s="451"/>
      <c r="Z107" s="451"/>
      <c r="AA107" s="186"/>
      <c r="AB107" s="451"/>
      <c r="AC107" s="451"/>
      <c r="AD107" s="451"/>
      <c r="AE107" s="451"/>
      <c r="AF107" s="451"/>
      <c r="AG107" s="188"/>
      <c r="AH107" s="451"/>
    </row>
    <row r="108" spans="1:34" x14ac:dyDescent="0.2">
      <c r="A108" s="176" t="s">
        <v>21</v>
      </c>
      <c r="B108" s="462" t="s">
        <v>22</v>
      </c>
      <c r="C108" s="462"/>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row>
    <row r="109" spans="1:34" x14ac:dyDescent="0.2">
      <c r="A109" s="476"/>
      <c r="B109" s="477" t="s">
        <v>23</v>
      </c>
      <c r="C109" s="477"/>
      <c r="D109" s="24" t="s">
        <v>135</v>
      </c>
      <c r="E109" s="181">
        <v>2</v>
      </c>
      <c r="F109" s="181">
        <v>2</v>
      </c>
      <c r="G109" s="181">
        <v>2</v>
      </c>
      <c r="H109" s="181">
        <v>4</v>
      </c>
      <c r="I109" s="188"/>
      <c r="J109" s="192">
        <v>10</v>
      </c>
      <c r="K109" s="181">
        <v>2</v>
      </c>
      <c r="L109" s="181">
        <v>2</v>
      </c>
      <c r="M109" s="181">
        <v>2</v>
      </c>
      <c r="N109" s="181">
        <v>4</v>
      </c>
      <c r="O109" s="188"/>
      <c r="P109" s="192">
        <v>10</v>
      </c>
      <c r="Q109" s="181">
        <v>2</v>
      </c>
      <c r="R109" s="181">
        <v>2</v>
      </c>
      <c r="S109" s="181">
        <v>2</v>
      </c>
      <c r="T109" s="181">
        <v>4</v>
      </c>
      <c r="U109" s="188"/>
      <c r="V109" s="192">
        <v>10</v>
      </c>
      <c r="W109" s="181">
        <v>2</v>
      </c>
      <c r="X109" s="181">
        <v>2</v>
      </c>
      <c r="Y109" s="181">
        <v>2</v>
      </c>
      <c r="Z109" s="181">
        <v>4</v>
      </c>
      <c r="AA109" s="188"/>
      <c r="AB109" s="192">
        <v>10</v>
      </c>
      <c r="AC109" s="181">
        <v>2</v>
      </c>
      <c r="AD109" s="181">
        <v>2</v>
      </c>
      <c r="AE109" s="181">
        <v>2</v>
      </c>
      <c r="AF109" s="181">
        <v>4</v>
      </c>
      <c r="AG109" s="188"/>
      <c r="AH109" s="192">
        <v>10</v>
      </c>
    </row>
    <row r="110" spans="1:34" x14ac:dyDescent="0.2">
      <c r="A110" s="476"/>
      <c r="B110" s="478" t="s">
        <v>99</v>
      </c>
      <c r="C110" s="479"/>
      <c r="D110" s="272" t="s">
        <v>78</v>
      </c>
      <c r="E110" s="451">
        <v>0.33</v>
      </c>
      <c r="F110" s="451">
        <v>0.33</v>
      </c>
      <c r="G110" s="451">
        <v>0.33</v>
      </c>
      <c r="H110" s="451">
        <v>0.33</v>
      </c>
      <c r="I110" s="188"/>
      <c r="J110" s="451">
        <v>0.33</v>
      </c>
      <c r="K110" s="451">
        <v>0.33</v>
      </c>
      <c r="L110" s="451">
        <v>0.33</v>
      </c>
      <c r="M110" s="451">
        <v>0.33</v>
      </c>
      <c r="N110" s="451">
        <v>0.33</v>
      </c>
      <c r="O110" s="188"/>
      <c r="P110" s="451">
        <v>0.33</v>
      </c>
      <c r="Q110" s="451">
        <v>0.33</v>
      </c>
      <c r="R110" s="451">
        <v>0.33</v>
      </c>
      <c r="S110" s="451">
        <v>0.33</v>
      </c>
      <c r="T110" s="451">
        <v>0.33</v>
      </c>
      <c r="U110" s="188"/>
      <c r="V110" s="451">
        <v>0.33</v>
      </c>
      <c r="W110" s="451">
        <v>0.33</v>
      </c>
      <c r="X110" s="451">
        <v>0.33</v>
      </c>
      <c r="Y110" s="451">
        <v>0.33</v>
      </c>
      <c r="Z110" s="451">
        <v>0.33</v>
      </c>
      <c r="AA110" s="188"/>
      <c r="AB110" s="451">
        <v>0.33</v>
      </c>
      <c r="AC110" s="451">
        <v>0.33</v>
      </c>
      <c r="AD110" s="451">
        <v>0.33</v>
      </c>
      <c r="AE110" s="451">
        <v>0.33</v>
      </c>
      <c r="AF110" s="451">
        <v>0.33</v>
      </c>
      <c r="AG110" s="188"/>
      <c r="AH110" s="451">
        <v>0.33</v>
      </c>
    </row>
    <row r="111" spans="1:34" x14ac:dyDescent="0.2">
      <c r="A111" s="476"/>
      <c r="B111" s="479"/>
      <c r="C111" s="479"/>
      <c r="D111" s="251"/>
      <c r="E111" s="451"/>
      <c r="F111" s="451"/>
      <c r="G111" s="451"/>
      <c r="H111" s="451"/>
      <c r="I111" s="188"/>
      <c r="J111" s="451"/>
      <c r="K111" s="451"/>
      <c r="L111" s="451"/>
      <c r="M111" s="451"/>
      <c r="N111" s="451"/>
      <c r="O111" s="188"/>
      <c r="P111" s="451"/>
      <c r="Q111" s="451"/>
      <c r="R111" s="451"/>
      <c r="S111" s="451"/>
      <c r="T111" s="451"/>
      <c r="U111" s="188"/>
      <c r="V111" s="451"/>
      <c r="W111" s="451"/>
      <c r="X111" s="451"/>
      <c r="Y111" s="451"/>
      <c r="Z111" s="451"/>
      <c r="AA111" s="188"/>
      <c r="AB111" s="451"/>
      <c r="AC111" s="451"/>
      <c r="AD111" s="451"/>
      <c r="AE111" s="451"/>
      <c r="AF111" s="451"/>
      <c r="AG111" s="188"/>
      <c r="AH111" s="451"/>
    </row>
    <row r="112" spans="1:34" x14ac:dyDescent="0.2">
      <c r="A112" s="476"/>
      <c r="B112" s="465" t="s">
        <v>136</v>
      </c>
      <c r="C112" s="475" t="s">
        <v>6</v>
      </c>
      <c r="D112" s="272" t="s">
        <v>78</v>
      </c>
      <c r="E112" s="451">
        <v>0.5</v>
      </c>
      <c r="F112" s="451">
        <v>0.5</v>
      </c>
      <c r="G112" s="451">
        <v>0.5</v>
      </c>
      <c r="H112" s="451">
        <v>0.5</v>
      </c>
      <c r="I112" s="188"/>
      <c r="J112" s="451">
        <v>0.5</v>
      </c>
      <c r="K112" s="451">
        <v>0.49</v>
      </c>
      <c r="L112" s="451">
        <v>0.49</v>
      </c>
      <c r="M112" s="451">
        <v>0.49</v>
      </c>
      <c r="N112" s="451">
        <v>0.49</v>
      </c>
      <c r="O112" s="188"/>
      <c r="P112" s="451">
        <v>0.49</v>
      </c>
      <c r="Q112" s="451">
        <v>0.48</v>
      </c>
      <c r="R112" s="451">
        <v>0.48</v>
      </c>
      <c r="S112" s="451">
        <v>0.48</v>
      </c>
      <c r="T112" s="451">
        <v>0.48</v>
      </c>
      <c r="U112" s="188"/>
      <c r="V112" s="451">
        <v>0.48</v>
      </c>
      <c r="W112" s="451">
        <v>0.47</v>
      </c>
      <c r="X112" s="451">
        <v>0.47</v>
      </c>
      <c r="Y112" s="451">
        <v>0.47</v>
      </c>
      <c r="Z112" s="451">
        <v>0.47</v>
      </c>
      <c r="AA112" s="186"/>
      <c r="AB112" s="451">
        <v>0.47</v>
      </c>
      <c r="AC112" s="451">
        <v>0.45</v>
      </c>
      <c r="AD112" s="451">
        <v>0.45</v>
      </c>
      <c r="AE112" s="451">
        <v>0.45</v>
      </c>
      <c r="AF112" s="451">
        <v>0.45</v>
      </c>
      <c r="AG112" s="188"/>
      <c r="AH112" s="451">
        <v>0.45</v>
      </c>
    </row>
    <row r="113" spans="1:34" x14ac:dyDescent="0.2">
      <c r="A113" s="476"/>
      <c r="B113" s="465"/>
      <c r="C113" s="475"/>
      <c r="D113" s="251"/>
      <c r="E113" s="451"/>
      <c r="F113" s="451"/>
      <c r="G113" s="451"/>
      <c r="H113" s="451"/>
      <c r="I113" s="188"/>
      <c r="J113" s="451"/>
      <c r="K113" s="451"/>
      <c r="L113" s="451"/>
      <c r="M113" s="451"/>
      <c r="N113" s="451"/>
      <c r="O113" s="188"/>
      <c r="P113" s="451"/>
      <c r="Q113" s="451"/>
      <c r="R113" s="451"/>
      <c r="S113" s="451"/>
      <c r="T113" s="451"/>
      <c r="U113" s="188"/>
      <c r="V113" s="451"/>
      <c r="W113" s="451"/>
      <c r="X113" s="451"/>
      <c r="Y113" s="451"/>
      <c r="Z113" s="451"/>
      <c r="AA113" s="186"/>
      <c r="AB113" s="451"/>
      <c r="AC113" s="451"/>
      <c r="AD113" s="451"/>
      <c r="AE113" s="451"/>
      <c r="AF113" s="451"/>
      <c r="AG113" s="188"/>
      <c r="AH113" s="451"/>
    </row>
    <row r="114" spans="1:34" x14ac:dyDescent="0.2">
      <c r="A114" s="476"/>
      <c r="B114" s="465"/>
      <c r="C114" s="475" t="s">
        <v>7</v>
      </c>
      <c r="D114" s="272" t="s">
        <v>78</v>
      </c>
      <c r="E114" s="451">
        <v>0.25</v>
      </c>
      <c r="F114" s="451">
        <v>0.25</v>
      </c>
      <c r="G114" s="451">
        <v>0.25</v>
      </c>
      <c r="H114" s="451">
        <v>0.25</v>
      </c>
      <c r="I114" s="188"/>
      <c r="J114" s="451">
        <v>0.25</v>
      </c>
      <c r="K114" s="451">
        <v>0.24</v>
      </c>
      <c r="L114" s="451">
        <v>0.24</v>
      </c>
      <c r="M114" s="451">
        <v>0.24</v>
      </c>
      <c r="N114" s="451">
        <v>0.24</v>
      </c>
      <c r="O114" s="188"/>
      <c r="P114" s="451">
        <v>0.24</v>
      </c>
      <c r="Q114" s="451">
        <v>0.23</v>
      </c>
      <c r="R114" s="451">
        <v>0.23</v>
      </c>
      <c r="S114" s="451">
        <v>0.23</v>
      </c>
      <c r="T114" s="451">
        <v>0.23</v>
      </c>
      <c r="U114" s="188"/>
      <c r="V114" s="451">
        <v>0.23</v>
      </c>
      <c r="W114" s="451">
        <v>0.22</v>
      </c>
      <c r="X114" s="451">
        <v>0.22</v>
      </c>
      <c r="Y114" s="451">
        <v>0.22</v>
      </c>
      <c r="Z114" s="451">
        <v>0.22</v>
      </c>
      <c r="AA114" s="186"/>
      <c r="AB114" s="451">
        <v>0.22</v>
      </c>
      <c r="AC114" s="451">
        <v>0.2</v>
      </c>
      <c r="AD114" s="451">
        <v>0.2</v>
      </c>
      <c r="AE114" s="451">
        <v>0.2</v>
      </c>
      <c r="AF114" s="451">
        <v>0.2</v>
      </c>
      <c r="AG114" s="188"/>
      <c r="AH114" s="451">
        <v>0.2</v>
      </c>
    </row>
    <row r="115" spans="1:34" x14ac:dyDescent="0.2">
      <c r="A115" s="476"/>
      <c r="B115" s="465"/>
      <c r="C115" s="475"/>
      <c r="D115" s="251"/>
      <c r="E115" s="451"/>
      <c r="F115" s="451"/>
      <c r="G115" s="451"/>
      <c r="H115" s="451"/>
      <c r="I115" s="188"/>
      <c r="J115" s="451"/>
      <c r="K115" s="451"/>
      <c r="L115" s="451"/>
      <c r="M115" s="451"/>
      <c r="N115" s="451"/>
      <c r="O115" s="188"/>
      <c r="P115" s="451"/>
      <c r="Q115" s="451"/>
      <c r="R115" s="451"/>
      <c r="S115" s="451"/>
      <c r="T115" s="451"/>
      <c r="U115" s="188"/>
      <c r="V115" s="451"/>
      <c r="W115" s="451"/>
      <c r="X115" s="451"/>
      <c r="Y115" s="451"/>
      <c r="Z115" s="451"/>
      <c r="AA115" s="186"/>
      <c r="AB115" s="451"/>
      <c r="AC115" s="451"/>
      <c r="AD115" s="451"/>
      <c r="AE115" s="451"/>
      <c r="AF115" s="451"/>
      <c r="AG115" s="188"/>
      <c r="AH115" s="451"/>
    </row>
    <row r="116" spans="1:34" x14ac:dyDescent="0.2">
      <c r="A116" s="476"/>
      <c r="B116" s="465"/>
      <c r="C116" s="475" t="s">
        <v>8</v>
      </c>
      <c r="D116" s="272" t="s">
        <v>78</v>
      </c>
      <c r="E116" s="451">
        <v>0.3</v>
      </c>
      <c r="F116" s="451">
        <v>0.3</v>
      </c>
      <c r="G116" s="451">
        <v>0.3</v>
      </c>
      <c r="H116" s="451">
        <v>0.3</v>
      </c>
      <c r="I116" s="188"/>
      <c r="J116" s="451">
        <v>0.3</v>
      </c>
      <c r="K116" s="451">
        <v>0.28999999999999998</v>
      </c>
      <c r="L116" s="451">
        <v>0.28999999999999998</v>
      </c>
      <c r="M116" s="451">
        <v>0.28999999999999998</v>
      </c>
      <c r="N116" s="451">
        <v>0.28999999999999998</v>
      </c>
      <c r="O116" s="188"/>
      <c r="P116" s="451">
        <v>0.28999999999999998</v>
      </c>
      <c r="Q116" s="451">
        <v>0.28000000000000003</v>
      </c>
      <c r="R116" s="451">
        <v>0.28000000000000003</v>
      </c>
      <c r="S116" s="451">
        <v>0.28000000000000003</v>
      </c>
      <c r="T116" s="451">
        <v>0.28000000000000003</v>
      </c>
      <c r="U116" s="188"/>
      <c r="V116" s="451">
        <v>0.28000000000000003</v>
      </c>
      <c r="W116" s="451">
        <v>0.27</v>
      </c>
      <c r="X116" s="451">
        <v>0.27</v>
      </c>
      <c r="Y116" s="451">
        <v>0.27</v>
      </c>
      <c r="Z116" s="451">
        <v>0.27</v>
      </c>
      <c r="AA116" s="186"/>
      <c r="AB116" s="451">
        <v>0.27</v>
      </c>
      <c r="AC116" s="451">
        <v>0.25</v>
      </c>
      <c r="AD116" s="451">
        <v>0.25</v>
      </c>
      <c r="AE116" s="451">
        <v>0.25</v>
      </c>
      <c r="AF116" s="451">
        <v>0.25</v>
      </c>
      <c r="AG116" s="188"/>
      <c r="AH116" s="451">
        <v>0.25</v>
      </c>
    </row>
    <row r="117" spans="1:34" x14ac:dyDescent="0.2">
      <c r="A117" s="476"/>
      <c r="B117" s="465"/>
      <c r="C117" s="475"/>
      <c r="D117" s="251"/>
      <c r="E117" s="451"/>
      <c r="F117" s="451"/>
      <c r="G117" s="451"/>
      <c r="H117" s="451"/>
      <c r="I117" s="188"/>
      <c r="J117" s="451"/>
      <c r="K117" s="451"/>
      <c r="L117" s="451"/>
      <c r="M117" s="451"/>
      <c r="N117" s="451"/>
      <c r="O117" s="188"/>
      <c r="P117" s="451"/>
      <c r="Q117" s="451"/>
      <c r="R117" s="451"/>
      <c r="S117" s="451"/>
      <c r="T117" s="451"/>
      <c r="U117" s="188"/>
      <c r="V117" s="451"/>
      <c r="W117" s="451"/>
      <c r="X117" s="451"/>
      <c r="Y117" s="451"/>
      <c r="Z117" s="451"/>
      <c r="AA117" s="186"/>
      <c r="AB117" s="451"/>
      <c r="AC117" s="451"/>
      <c r="AD117" s="451"/>
      <c r="AE117" s="451"/>
      <c r="AF117" s="451"/>
      <c r="AG117" s="188"/>
      <c r="AH117" s="451"/>
    </row>
    <row r="118" spans="1:34" x14ac:dyDescent="0.2">
      <c r="A118" s="476"/>
      <c r="B118" s="465" t="s">
        <v>86</v>
      </c>
      <c r="C118" s="475" t="s">
        <v>6</v>
      </c>
      <c r="D118" s="272" t="s">
        <v>78</v>
      </c>
      <c r="E118" s="451">
        <v>0.1</v>
      </c>
      <c r="F118" s="451">
        <v>0.1</v>
      </c>
      <c r="G118" s="451">
        <v>0.1</v>
      </c>
      <c r="H118" s="451">
        <v>0.1</v>
      </c>
      <c r="I118" s="188"/>
      <c r="J118" s="451">
        <v>0.1</v>
      </c>
      <c r="K118" s="451">
        <v>0.1</v>
      </c>
      <c r="L118" s="451">
        <v>0.1</v>
      </c>
      <c r="M118" s="451">
        <v>0.1</v>
      </c>
      <c r="N118" s="451">
        <v>0.1</v>
      </c>
      <c r="O118" s="188"/>
      <c r="P118" s="451">
        <v>0.1</v>
      </c>
      <c r="Q118" s="451">
        <v>0.1</v>
      </c>
      <c r="R118" s="451">
        <v>0.1</v>
      </c>
      <c r="S118" s="451">
        <v>0.1</v>
      </c>
      <c r="T118" s="451">
        <v>0.1</v>
      </c>
      <c r="U118" s="188"/>
      <c r="V118" s="451">
        <v>0.1</v>
      </c>
      <c r="W118" s="451">
        <v>0.1</v>
      </c>
      <c r="X118" s="451">
        <v>0.1</v>
      </c>
      <c r="Y118" s="451">
        <v>0.1</v>
      </c>
      <c r="Z118" s="451">
        <v>0.1</v>
      </c>
      <c r="AA118" s="188"/>
      <c r="AB118" s="451">
        <v>0.1</v>
      </c>
      <c r="AC118" s="451">
        <v>0.1</v>
      </c>
      <c r="AD118" s="451">
        <v>0.1</v>
      </c>
      <c r="AE118" s="451">
        <v>0.1</v>
      </c>
      <c r="AF118" s="451">
        <v>0.1</v>
      </c>
      <c r="AG118" s="188"/>
      <c r="AH118" s="451">
        <v>0.1</v>
      </c>
    </row>
    <row r="119" spans="1:34" x14ac:dyDescent="0.2">
      <c r="A119" s="476"/>
      <c r="B119" s="465"/>
      <c r="C119" s="475"/>
      <c r="D119" s="251"/>
      <c r="E119" s="451"/>
      <c r="F119" s="451"/>
      <c r="G119" s="451"/>
      <c r="H119" s="451"/>
      <c r="I119" s="188"/>
      <c r="J119" s="451"/>
      <c r="K119" s="451"/>
      <c r="L119" s="451"/>
      <c r="M119" s="451"/>
      <c r="N119" s="451"/>
      <c r="O119" s="188"/>
      <c r="P119" s="451"/>
      <c r="Q119" s="451"/>
      <c r="R119" s="451"/>
      <c r="S119" s="451"/>
      <c r="T119" s="451"/>
      <c r="U119" s="188"/>
      <c r="V119" s="451"/>
      <c r="W119" s="451"/>
      <c r="X119" s="451"/>
      <c r="Y119" s="451"/>
      <c r="Z119" s="451"/>
      <c r="AA119" s="188"/>
      <c r="AB119" s="451"/>
      <c r="AC119" s="451"/>
      <c r="AD119" s="451"/>
      <c r="AE119" s="451"/>
      <c r="AF119" s="451"/>
      <c r="AG119" s="188"/>
      <c r="AH119" s="451"/>
    </row>
    <row r="120" spans="1:34" x14ac:dyDescent="0.2">
      <c r="A120" s="476"/>
      <c r="B120" s="465"/>
      <c r="C120" s="475" t="s">
        <v>7</v>
      </c>
      <c r="D120" s="272" t="s">
        <v>78</v>
      </c>
      <c r="E120" s="451">
        <v>0.1</v>
      </c>
      <c r="F120" s="451">
        <v>0.1</v>
      </c>
      <c r="G120" s="451">
        <v>0.1</v>
      </c>
      <c r="H120" s="451">
        <v>0.1</v>
      </c>
      <c r="I120" s="188"/>
      <c r="J120" s="451">
        <v>0.1</v>
      </c>
      <c r="K120" s="451">
        <v>0.1</v>
      </c>
      <c r="L120" s="451">
        <v>0.1</v>
      </c>
      <c r="M120" s="451">
        <v>0.1</v>
      </c>
      <c r="N120" s="451">
        <v>0.1</v>
      </c>
      <c r="O120" s="188"/>
      <c r="P120" s="451">
        <v>0.1</v>
      </c>
      <c r="Q120" s="451">
        <v>0.1</v>
      </c>
      <c r="R120" s="451">
        <v>0.1</v>
      </c>
      <c r="S120" s="451">
        <v>0.1</v>
      </c>
      <c r="T120" s="451">
        <v>0.1</v>
      </c>
      <c r="U120" s="188"/>
      <c r="V120" s="451">
        <v>0.1</v>
      </c>
      <c r="W120" s="451">
        <v>0.1</v>
      </c>
      <c r="X120" s="451">
        <v>0.1</v>
      </c>
      <c r="Y120" s="451">
        <v>0.1</v>
      </c>
      <c r="Z120" s="451">
        <v>0.1</v>
      </c>
      <c r="AA120" s="188"/>
      <c r="AB120" s="451">
        <v>0.1</v>
      </c>
      <c r="AC120" s="451">
        <v>0.1</v>
      </c>
      <c r="AD120" s="451">
        <v>0.1</v>
      </c>
      <c r="AE120" s="451">
        <v>0.1</v>
      </c>
      <c r="AF120" s="451">
        <v>0.1</v>
      </c>
      <c r="AG120" s="188"/>
      <c r="AH120" s="451">
        <v>0.1</v>
      </c>
    </row>
    <row r="121" spans="1:34" x14ac:dyDescent="0.2">
      <c r="A121" s="476"/>
      <c r="B121" s="465"/>
      <c r="C121" s="475"/>
      <c r="D121" s="251"/>
      <c r="E121" s="451"/>
      <c r="F121" s="451"/>
      <c r="G121" s="451"/>
      <c r="H121" s="451"/>
      <c r="I121" s="188"/>
      <c r="J121" s="451"/>
      <c r="K121" s="451"/>
      <c r="L121" s="451"/>
      <c r="M121" s="451"/>
      <c r="N121" s="451"/>
      <c r="O121" s="188"/>
      <c r="P121" s="451"/>
      <c r="Q121" s="451"/>
      <c r="R121" s="451"/>
      <c r="S121" s="451"/>
      <c r="T121" s="451"/>
      <c r="U121" s="188"/>
      <c r="V121" s="451"/>
      <c r="W121" s="451"/>
      <c r="X121" s="451"/>
      <c r="Y121" s="451"/>
      <c r="Z121" s="451"/>
      <c r="AA121" s="188"/>
      <c r="AB121" s="451"/>
      <c r="AC121" s="451"/>
      <c r="AD121" s="451"/>
      <c r="AE121" s="451"/>
      <c r="AF121" s="451"/>
      <c r="AG121" s="188"/>
      <c r="AH121" s="451"/>
    </row>
    <row r="122" spans="1:34" x14ac:dyDescent="0.2">
      <c r="A122" s="476"/>
      <c r="B122" s="465"/>
      <c r="C122" s="475" t="s">
        <v>8</v>
      </c>
      <c r="D122" s="272" t="s">
        <v>78</v>
      </c>
      <c r="E122" s="451">
        <v>0.1</v>
      </c>
      <c r="F122" s="451">
        <v>0.1</v>
      </c>
      <c r="G122" s="451">
        <v>0.1</v>
      </c>
      <c r="H122" s="451">
        <v>0.1</v>
      </c>
      <c r="I122" s="188"/>
      <c r="J122" s="451">
        <v>0.1</v>
      </c>
      <c r="K122" s="451">
        <v>0.1</v>
      </c>
      <c r="L122" s="451">
        <v>0.1</v>
      </c>
      <c r="M122" s="451">
        <v>0.1</v>
      </c>
      <c r="N122" s="451">
        <v>0.1</v>
      </c>
      <c r="O122" s="188"/>
      <c r="P122" s="451">
        <v>0.1</v>
      </c>
      <c r="Q122" s="451">
        <v>0.1</v>
      </c>
      <c r="R122" s="451">
        <v>0.1</v>
      </c>
      <c r="S122" s="451">
        <v>0.1</v>
      </c>
      <c r="T122" s="451">
        <v>0.1</v>
      </c>
      <c r="U122" s="188"/>
      <c r="V122" s="451">
        <v>0.1</v>
      </c>
      <c r="W122" s="451">
        <v>0.1</v>
      </c>
      <c r="X122" s="451">
        <v>0.1</v>
      </c>
      <c r="Y122" s="451">
        <v>0.1</v>
      </c>
      <c r="Z122" s="451">
        <v>0.1</v>
      </c>
      <c r="AA122" s="188"/>
      <c r="AB122" s="451">
        <v>0.1</v>
      </c>
      <c r="AC122" s="451">
        <v>0.1</v>
      </c>
      <c r="AD122" s="451">
        <v>0.1</v>
      </c>
      <c r="AE122" s="451">
        <v>0.1</v>
      </c>
      <c r="AF122" s="451">
        <v>0.1</v>
      </c>
      <c r="AG122" s="188"/>
      <c r="AH122" s="451">
        <v>0.1</v>
      </c>
    </row>
    <row r="123" spans="1:34" x14ac:dyDescent="0.2">
      <c r="A123" s="476"/>
      <c r="B123" s="465"/>
      <c r="C123" s="475"/>
      <c r="D123" s="251"/>
      <c r="E123" s="451"/>
      <c r="F123" s="451"/>
      <c r="G123" s="451"/>
      <c r="H123" s="451"/>
      <c r="I123" s="188"/>
      <c r="J123" s="451"/>
      <c r="K123" s="451"/>
      <c r="L123" s="451"/>
      <c r="M123" s="451"/>
      <c r="N123" s="451"/>
      <c r="O123" s="188"/>
      <c r="P123" s="451"/>
      <c r="Q123" s="451"/>
      <c r="R123" s="451"/>
      <c r="S123" s="451"/>
      <c r="T123" s="451"/>
      <c r="U123" s="188"/>
      <c r="V123" s="451"/>
      <c r="W123" s="451"/>
      <c r="X123" s="451"/>
      <c r="Y123" s="451"/>
      <c r="Z123" s="451"/>
      <c r="AA123" s="188"/>
      <c r="AB123" s="451"/>
      <c r="AC123" s="451"/>
      <c r="AD123" s="451"/>
      <c r="AE123" s="451"/>
      <c r="AF123" s="451"/>
      <c r="AG123" s="188"/>
      <c r="AH123" s="451"/>
    </row>
    <row r="124" spans="1:34" x14ac:dyDescent="0.2">
      <c r="A124" s="176" t="s">
        <v>24</v>
      </c>
      <c r="B124" s="463" t="s">
        <v>25</v>
      </c>
      <c r="C124" s="463"/>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row>
    <row r="125" spans="1:34" x14ac:dyDescent="0.2">
      <c r="A125" s="469"/>
      <c r="B125" s="465" t="s">
        <v>137</v>
      </c>
      <c r="C125" s="475" t="s">
        <v>26</v>
      </c>
      <c r="D125" s="272" t="s">
        <v>78</v>
      </c>
      <c r="E125" s="459">
        <v>5.0000000000000001E-3</v>
      </c>
      <c r="F125" s="459">
        <v>5.0000000000000001E-3</v>
      </c>
      <c r="G125" s="459">
        <v>5.0000000000000001E-3</v>
      </c>
      <c r="H125" s="459">
        <v>5.0000000000000001E-3</v>
      </c>
      <c r="I125" s="188"/>
      <c r="J125" s="459">
        <v>5.0000000000000001E-3</v>
      </c>
      <c r="K125" s="459">
        <v>5.0000000000000001E-3</v>
      </c>
      <c r="L125" s="459">
        <v>5.0000000000000001E-3</v>
      </c>
      <c r="M125" s="459">
        <v>5.0000000000000001E-3</v>
      </c>
      <c r="N125" s="459">
        <v>5.0000000000000001E-3</v>
      </c>
      <c r="O125" s="188"/>
      <c r="P125" s="459">
        <v>5.0000000000000001E-3</v>
      </c>
      <c r="Q125" s="459">
        <v>5.0000000000000001E-3</v>
      </c>
      <c r="R125" s="459">
        <v>5.0000000000000001E-3</v>
      </c>
      <c r="S125" s="459">
        <v>5.0000000000000001E-3</v>
      </c>
      <c r="T125" s="459">
        <v>5.0000000000000001E-3</v>
      </c>
      <c r="U125" s="188"/>
      <c r="V125" s="459">
        <v>5.0000000000000001E-3</v>
      </c>
      <c r="W125" s="459">
        <v>5.0000000000000001E-3</v>
      </c>
      <c r="X125" s="459">
        <v>5.0000000000000001E-3</v>
      </c>
      <c r="Y125" s="459">
        <v>5.0000000000000001E-3</v>
      </c>
      <c r="Z125" s="459">
        <v>5.0000000000000001E-3</v>
      </c>
      <c r="AA125" s="188"/>
      <c r="AB125" s="459">
        <v>5.0000000000000001E-3</v>
      </c>
      <c r="AC125" s="459">
        <v>5.0000000000000001E-3</v>
      </c>
      <c r="AD125" s="459">
        <v>5.0000000000000001E-3</v>
      </c>
      <c r="AE125" s="459">
        <v>5.0000000000000001E-3</v>
      </c>
      <c r="AF125" s="459">
        <v>5.0000000000000001E-3</v>
      </c>
      <c r="AG125" s="188"/>
      <c r="AH125" s="459">
        <v>5.0000000000000001E-3</v>
      </c>
    </row>
    <row r="126" spans="1:34" x14ac:dyDescent="0.2">
      <c r="A126" s="469"/>
      <c r="B126" s="465"/>
      <c r="C126" s="475"/>
      <c r="D126" s="251"/>
      <c r="E126" s="256"/>
      <c r="F126" s="256"/>
      <c r="G126" s="256"/>
      <c r="H126" s="256"/>
      <c r="I126" s="188"/>
      <c r="J126" s="256"/>
      <c r="K126" s="256"/>
      <c r="L126" s="256"/>
      <c r="M126" s="256"/>
      <c r="N126" s="256"/>
      <c r="O126" s="188"/>
      <c r="P126" s="256"/>
      <c r="Q126" s="256"/>
      <c r="R126" s="256"/>
      <c r="S126" s="256"/>
      <c r="T126" s="256"/>
      <c r="U126" s="188"/>
      <c r="V126" s="256"/>
      <c r="W126" s="256"/>
      <c r="X126" s="256"/>
      <c r="Y126" s="256"/>
      <c r="Z126" s="256"/>
      <c r="AA126" s="188"/>
      <c r="AB126" s="256"/>
      <c r="AC126" s="256"/>
      <c r="AD126" s="256"/>
      <c r="AE126" s="256"/>
      <c r="AF126" s="256"/>
      <c r="AG126" s="188"/>
      <c r="AH126" s="256"/>
    </row>
    <row r="127" spans="1:34" x14ac:dyDescent="0.2">
      <c r="A127" s="469"/>
      <c r="B127" s="465"/>
      <c r="C127" s="475" t="s">
        <v>7</v>
      </c>
      <c r="D127" s="272" t="s">
        <v>78</v>
      </c>
      <c r="E127" s="454">
        <v>0.02</v>
      </c>
      <c r="F127" s="454">
        <v>0.02</v>
      </c>
      <c r="G127" s="454">
        <v>0.02</v>
      </c>
      <c r="H127" s="454">
        <v>0.02</v>
      </c>
      <c r="I127" s="188"/>
      <c r="J127" s="454">
        <v>0.02</v>
      </c>
      <c r="K127" s="454">
        <v>0.02</v>
      </c>
      <c r="L127" s="454">
        <v>0.02</v>
      </c>
      <c r="M127" s="454">
        <v>0.02</v>
      </c>
      <c r="N127" s="454">
        <v>0.02</v>
      </c>
      <c r="O127" s="188"/>
      <c r="P127" s="454">
        <v>0.02</v>
      </c>
      <c r="Q127" s="454">
        <v>0.02</v>
      </c>
      <c r="R127" s="454">
        <v>0.02</v>
      </c>
      <c r="S127" s="454">
        <v>0.02</v>
      </c>
      <c r="T127" s="454">
        <v>0.02</v>
      </c>
      <c r="U127" s="188"/>
      <c r="V127" s="454">
        <v>0.02</v>
      </c>
      <c r="W127" s="454">
        <v>0.02</v>
      </c>
      <c r="X127" s="454">
        <v>0.02</v>
      </c>
      <c r="Y127" s="454">
        <v>0.02</v>
      </c>
      <c r="Z127" s="454">
        <v>0.02</v>
      </c>
      <c r="AA127" s="188"/>
      <c r="AB127" s="454">
        <v>0.02</v>
      </c>
      <c r="AC127" s="454">
        <v>0.02</v>
      </c>
      <c r="AD127" s="454">
        <v>0.02</v>
      </c>
      <c r="AE127" s="454">
        <v>0.02</v>
      </c>
      <c r="AF127" s="454">
        <v>0.02</v>
      </c>
      <c r="AG127" s="188"/>
      <c r="AH127" s="454">
        <v>0.02</v>
      </c>
    </row>
    <row r="128" spans="1:34" x14ac:dyDescent="0.2">
      <c r="A128" s="469"/>
      <c r="B128" s="465"/>
      <c r="C128" s="475"/>
      <c r="D128" s="251"/>
      <c r="E128" s="454"/>
      <c r="F128" s="454"/>
      <c r="G128" s="454"/>
      <c r="H128" s="454"/>
      <c r="I128" s="188"/>
      <c r="J128" s="454"/>
      <c r="K128" s="454"/>
      <c r="L128" s="454"/>
      <c r="M128" s="454"/>
      <c r="N128" s="454"/>
      <c r="O128" s="188"/>
      <c r="P128" s="454"/>
      <c r="Q128" s="454"/>
      <c r="R128" s="454"/>
      <c r="S128" s="454"/>
      <c r="T128" s="454"/>
      <c r="U128" s="188"/>
      <c r="V128" s="454"/>
      <c r="W128" s="454"/>
      <c r="X128" s="454"/>
      <c r="Y128" s="454"/>
      <c r="Z128" s="454"/>
      <c r="AA128" s="188"/>
      <c r="AB128" s="454"/>
      <c r="AC128" s="454"/>
      <c r="AD128" s="454"/>
      <c r="AE128" s="454"/>
      <c r="AF128" s="454"/>
      <c r="AG128" s="188"/>
      <c r="AH128" s="454"/>
    </row>
    <row r="129" spans="1:34" x14ac:dyDescent="0.2">
      <c r="A129" s="469"/>
      <c r="B129" s="465"/>
      <c r="C129" s="475" t="s">
        <v>8</v>
      </c>
      <c r="D129" s="272" t="s">
        <v>78</v>
      </c>
      <c r="E129" s="454">
        <v>1.4999999999999999E-2</v>
      </c>
      <c r="F129" s="454">
        <v>1.4999999999999999E-2</v>
      </c>
      <c r="G129" s="454">
        <v>1.4999999999999999E-2</v>
      </c>
      <c r="H129" s="454">
        <v>1.4999999999999999E-2</v>
      </c>
      <c r="I129" s="188"/>
      <c r="J129" s="454">
        <v>1.4999999999999999E-2</v>
      </c>
      <c r="K129" s="454">
        <v>1.4999999999999999E-2</v>
      </c>
      <c r="L129" s="454">
        <v>1.4999999999999999E-2</v>
      </c>
      <c r="M129" s="454">
        <v>1.4999999999999999E-2</v>
      </c>
      <c r="N129" s="454">
        <v>1.4999999999999999E-2</v>
      </c>
      <c r="O129" s="188"/>
      <c r="P129" s="454">
        <v>1.4999999999999999E-2</v>
      </c>
      <c r="Q129" s="454">
        <v>1.4999999999999999E-2</v>
      </c>
      <c r="R129" s="454">
        <v>1.4999999999999999E-2</v>
      </c>
      <c r="S129" s="454">
        <v>1.4999999999999999E-2</v>
      </c>
      <c r="T129" s="454">
        <v>1.4999999999999999E-2</v>
      </c>
      <c r="U129" s="188"/>
      <c r="V129" s="454">
        <v>1.4999999999999999E-2</v>
      </c>
      <c r="W129" s="454">
        <v>1.4999999999999999E-2</v>
      </c>
      <c r="X129" s="454">
        <v>1.4999999999999999E-2</v>
      </c>
      <c r="Y129" s="454">
        <v>1.4999999999999999E-2</v>
      </c>
      <c r="Z129" s="454">
        <v>1.4999999999999999E-2</v>
      </c>
      <c r="AA129" s="188"/>
      <c r="AB129" s="454">
        <v>1.4999999999999999E-2</v>
      </c>
      <c r="AC129" s="454">
        <v>1.4999999999999999E-2</v>
      </c>
      <c r="AD129" s="454">
        <v>1.4999999999999999E-2</v>
      </c>
      <c r="AE129" s="454">
        <v>1.4999999999999999E-2</v>
      </c>
      <c r="AF129" s="454">
        <v>1.4999999999999999E-2</v>
      </c>
      <c r="AG129" s="188"/>
      <c r="AH129" s="454">
        <v>1.4999999999999999E-2</v>
      </c>
    </row>
    <row r="130" spans="1:34" x14ac:dyDescent="0.2">
      <c r="A130" s="469"/>
      <c r="B130" s="465"/>
      <c r="C130" s="475"/>
      <c r="D130" s="251"/>
      <c r="E130" s="454"/>
      <c r="F130" s="454"/>
      <c r="G130" s="454"/>
      <c r="H130" s="454"/>
      <c r="I130" s="188"/>
      <c r="J130" s="454"/>
      <c r="K130" s="454"/>
      <c r="L130" s="454"/>
      <c r="M130" s="454"/>
      <c r="N130" s="454"/>
      <c r="O130" s="188"/>
      <c r="P130" s="454"/>
      <c r="Q130" s="454"/>
      <c r="R130" s="454"/>
      <c r="S130" s="454"/>
      <c r="T130" s="454"/>
      <c r="U130" s="188"/>
      <c r="V130" s="454"/>
      <c r="W130" s="454"/>
      <c r="X130" s="454"/>
      <c r="Y130" s="454"/>
      <c r="Z130" s="454"/>
      <c r="AA130" s="188"/>
      <c r="AB130" s="454"/>
      <c r="AC130" s="454"/>
      <c r="AD130" s="454"/>
      <c r="AE130" s="454"/>
      <c r="AF130" s="454"/>
      <c r="AG130" s="188"/>
      <c r="AH130" s="454"/>
    </row>
    <row r="131" spans="1:34" x14ac:dyDescent="0.2">
      <c r="A131" s="469"/>
      <c r="B131" s="465" t="s">
        <v>138</v>
      </c>
      <c r="C131" s="475" t="s">
        <v>26</v>
      </c>
      <c r="D131" s="272" t="s">
        <v>78</v>
      </c>
      <c r="E131" s="454">
        <v>5.0000000000000001E-3</v>
      </c>
      <c r="F131" s="454">
        <v>5.0000000000000001E-3</v>
      </c>
      <c r="G131" s="454">
        <v>5.0000000000000001E-3</v>
      </c>
      <c r="H131" s="454">
        <v>5.0000000000000001E-3</v>
      </c>
      <c r="I131" s="188"/>
      <c r="J131" s="454">
        <v>5.0000000000000001E-3</v>
      </c>
      <c r="K131" s="454">
        <v>5.0000000000000001E-3</v>
      </c>
      <c r="L131" s="454">
        <v>5.0000000000000001E-3</v>
      </c>
      <c r="M131" s="454">
        <v>5.0000000000000001E-3</v>
      </c>
      <c r="N131" s="454">
        <v>5.0000000000000001E-3</v>
      </c>
      <c r="O131" s="188"/>
      <c r="P131" s="454">
        <v>5.0000000000000001E-3</v>
      </c>
      <c r="Q131" s="454">
        <v>5.0000000000000001E-3</v>
      </c>
      <c r="R131" s="454">
        <v>5.0000000000000001E-3</v>
      </c>
      <c r="S131" s="454">
        <v>5.0000000000000001E-3</v>
      </c>
      <c r="T131" s="454">
        <v>5.0000000000000001E-3</v>
      </c>
      <c r="U131" s="188"/>
      <c r="V131" s="454">
        <v>5.0000000000000001E-3</v>
      </c>
      <c r="W131" s="454">
        <v>5.0000000000000001E-3</v>
      </c>
      <c r="X131" s="454">
        <v>5.0000000000000001E-3</v>
      </c>
      <c r="Y131" s="454">
        <v>5.0000000000000001E-3</v>
      </c>
      <c r="Z131" s="454">
        <v>5.0000000000000001E-3</v>
      </c>
      <c r="AA131" s="188"/>
      <c r="AB131" s="454">
        <v>5.0000000000000001E-3</v>
      </c>
      <c r="AC131" s="454">
        <v>5.0000000000000001E-3</v>
      </c>
      <c r="AD131" s="454">
        <v>5.0000000000000001E-3</v>
      </c>
      <c r="AE131" s="454">
        <v>5.0000000000000001E-3</v>
      </c>
      <c r="AF131" s="454">
        <v>5.0000000000000001E-3</v>
      </c>
      <c r="AG131" s="188"/>
      <c r="AH131" s="454">
        <v>5.0000000000000001E-3</v>
      </c>
    </row>
    <row r="132" spans="1:34" x14ac:dyDescent="0.2">
      <c r="A132" s="469"/>
      <c r="B132" s="465"/>
      <c r="C132" s="475"/>
      <c r="D132" s="251"/>
      <c r="E132" s="454"/>
      <c r="F132" s="454"/>
      <c r="G132" s="454"/>
      <c r="H132" s="454"/>
      <c r="I132" s="188"/>
      <c r="J132" s="454"/>
      <c r="K132" s="454"/>
      <c r="L132" s="454"/>
      <c r="M132" s="454"/>
      <c r="N132" s="454"/>
      <c r="O132" s="188"/>
      <c r="P132" s="454"/>
      <c r="Q132" s="454"/>
      <c r="R132" s="454"/>
      <c r="S132" s="454"/>
      <c r="T132" s="454"/>
      <c r="U132" s="188"/>
      <c r="V132" s="454"/>
      <c r="W132" s="454"/>
      <c r="X132" s="454"/>
      <c r="Y132" s="454"/>
      <c r="Z132" s="454"/>
      <c r="AA132" s="188"/>
      <c r="AB132" s="454"/>
      <c r="AC132" s="454"/>
      <c r="AD132" s="454"/>
      <c r="AE132" s="454"/>
      <c r="AF132" s="454"/>
      <c r="AG132" s="188"/>
      <c r="AH132" s="454"/>
    </row>
    <row r="133" spans="1:34" x14ac:dyDescent="0.2">
      <c r="A133" s="469"/>
      <c r="B133" s="465"/>
      <c r="C133" s="475" t="s">
        <v>7</v>
      </c>
      <c r="D133" s="272" t="s">
        <v>78</v>
      </c>
      <c r="E133" s="451">
        <v>0.02</v>
      </c>
      <c r="F133" s="451">
        <v>0.02</v>
      </c>
      <c r="G133" s="451">
        <v>0.02</v>
      </c>
      <c r="H133" s="451">
        <v>0.02</v>
      </c>
      <c r="I133" s="188"/>
      <c r="J133" s="451">
        <v>0.02</v>
      </c>
      <c r="K133" s="451">
        <v>0.02</v>
      </c>
      <c r="L133" s="451">
        <v>0.02</v>
      </c>
      <c r="M133" s="451">
        <v>0.02</v>
      </c>
      <c r="N133" s="451">
        <v>0.02</v>
      </c>
      <c r="O133" s="188"/>
      <c r="P133" s="451">
        <v>0.02</v>
      </c>
      <c r="Q133" s="451">
        <v>0.02</v>
      </c>
      <c r="R133" s="451">
        <v>0.02</v>
      </c>
      <c r="S133" s="451">
        <v>0.02</v>
      </c>
      <c r="T133" s="451">
        <v>0.02</v>
      </c>
      <c r="U133" s="188"/>
      <c r="V133" s="451">
        <v>0.02</v>
      </c>
      <c r="W133" s="451">
        <v>0.02</v>
      </c>
      <c r="X133" s="451">
        <v>0.02</v>
      </c>
      <c r="Y133" s="451">
        <v>0.02</v>
      </c>
      <c r="Z133" s="451">
        <v>0.02</v>
      </c>
      <c r="AA133" s="188"/>
      <c r="AB133" s="451">
        <v>0.02</v>
      </c>
      <c r="AC133" s="451">
        <v>0.02</v>
      </c>
      <c r="AD133" s="451">
        <v>0.02</v>
      </c>
      <c r="AE133" s="451">
        <v>0.02</v>
      </c>
      <c r="AF133" s="451">
        <v>0.02</v>
      </c>
      <c r="AG133" s="188"/>
      <c r="AH133" s="451">
        <v>0.02</v>
      </c>
    </row>
    <row r="134" spans="1:34" x14ac:dyDescent="0.2">
      <c r="A134" s="469"/>
      <c r="B134" s="465"/>
      <c r="C134" s="475"/>
      <c r="D134" s="251"/>
      <c r="E134" s="451"/>
      <c r="F134" s="451"/>
      <c r="G134" s="451"/>
      <c r="H134" s="451"/>
      <c r="I134" s="188"/>
      <c r="J134" s="451"/>
      <c r="K134" s="451"/>
      <c r="L134" s="451"/>
      <c r="M134" s="451"/>
      <c r="N134" s="451"/>
      <c r="O134" s="188"/>
      <c r="P134" s="451"/>
      <c r="Q134" s="451"/>
      <c r="R134" s="451"/>
      <c r="S134" s="451"/>
      <c r="T134" s="451"/>
      <c r="U134" s="188"/>
      <c r="V134" s="451"/>
      <c r="W134" s="451"/>
      <c r="X134" s="451"/>
      <c r="Y134" s="451"/>
      <c r="Z134" s="451"/>
      <c r="AA134" s="188"/>
      <c r="AB134" s="451"/>
      <c r="AC134" s="451"/>
      <c r="AD134" s="451"/>
      <c r="AE134" s="451"/>
      <c r="AF134" s="451"/>
      <c r="AG134" s="188"/>
      <c r="AH134" s="451"/>
    </row>
    <row r="135" spans="1:34" x14ac:dyDescent="0.2">
      <c r="A135" s="469"/>
      <c r="B135" s="465"/>
      <c r="C135" s="475" t="s">
        <v>8</v>
      </c>
      <c r="D135" s="272" t="s">
        <v>78</v>
      </c>
      <c r="E135" s="454">
        <v>1.4999999999999999E-2</v>
      </c>
      <c r="F135" s="454">
        <v>1.4999999999999999E-2</v>
      </c>
      <c r="G135" s="454">
        <v>1.4999999999999999E-2</v>
      </c>
      <c r="H135" s="454">
        <v>1.4999999999999999E-2</v>
      </c>
      <c r="I135" s="188"/>
      <c r="J135" s="454">
        <v>1.4999999999999999E-2</v>
      </c>
      <c r="K135" s="454">
        <v>1.4999999999999999E-2</v>
      </c>
      <c r="L135" s="454">
        <v>1.4999999999999999E-2</v>
      </c>
      <c r="M135" s="454">
        <v>1.4999999999999999E-2</v>
      </c>
      <c r="N135" s="454">
        <v>1.4999999999999999E-2</v>
      </c>
      <c r="O135" s="188"/>
      <c r="P135" s="454">
        <v>1.4999999999999999E-2</v>
      </c>
      <c r="Q135" s="454">
        <v>1.4999999999999999E-2</v>
      </c>
      <c r="R135" s="454">
        <v>1.4999999999999999E-2</v>
      </c>
      <c r="S135" s="454">
        <v>1.4999999999999999E-2</v>
      </c>
      <c r="T135" s="454">
        <v>1.4999999999999999E-2</v>
      </c>
      <c r="U135" s="188"/>
      <c r="V135" s="454">
        <v>1.4999999999999999E-2</v>
      </c>
      <c r="W135" s="454">
        <v>1.4999999999999999E-2</v>
      </c>
      <c r="X135" s="454">
        <v>1.4999999999999999E-2</v>
      </c>
      <c r="Y135" s="454">
        <v>1.4999999999999999E-2</v>
      </c>
      <c r="Z135" s="454">
        <v>1.4999999999999999E-2</v>
      </c>
      <c r="AA135" s="188"/>
      <c r="AB135" s="454">
        <v>1.4999999999999999E-2</v>
      </c>
      <c r="AC135" s="454">
        <v>1.4999999999999999E-2</v>
      </c>
      <c r="AD135" s="454">
        <v>1.4999999999999999E-2</v>
      </c>
      <c r="AE135" s="454">
        <v>1.4999999999999999E-2</v>
      </c>
      <c r="AF135" s="454">
        <v>1.4999999999999999E-2</v>
      </c>
      <c r="AG135" s="188"/>
      <c r="AH135" s="454">
        <v>1.4999999999999999E-2</v>
      </c>
    </row>
    <row r="136" spans="1:34" x14ac:dyDescent="0.2">
      <c r="A136" s="469"/>
      <c r="B136" s="465"/>
      <c r="C136" s="475"/>
      <c r="D136" s="251"/>
      <c r="E136" s="454"/>
      <c r="F136" s="454"/>
      <c r="G136" s="454"/>
      <c r="H136" s="454"/>
      <c r="I136" s="188"/>
      <c r="J136" s="454"/>
      <c r="K136" s="454"/>
      <c r="L136" s="454"/>
      <c r="M136" s="454"/>
      <c r="N136" s="454"/>
      <c r="O136" s="188"/>
      <c r="P136" s="454"/>
      <c r="Q136" s="454"/>
      <c r="R136" s="454"/>
      <c r="S136" s="454"/>
      <c r="T136" s="454"/>
      <c r="U136" s="188"/>
      <c r="V136" s="454"/>
      <c r="W136" s="454"/>
      <c r="X136" s="454"/>
      <c r="Y136" s="454"/>
      <c r="Z136" s="454"/>
      <c r="AA136" s="188"/>
      <c r="AB136" s="454"/>
      <c r="AC136" s="454"/>
      <c r="AD136" s="454"/>
      <c r="AE136" s="454"/>
      <c r="AF136" s="454"/>
      <c r="AG136" s="188"/>
      <c r="AH136" s="454"/>
    </row>
    <row r="137" spans="1:34" x14ac:dyDescent="0.2">
      <c r="A137" s="469"/>
      <c r="B137" s="465" t="s">
        <v>87</v>
      </c>
      <c r="C137" s="475" t="s">
        <v>6</v>
      </c>
      <c r="D137" s="272" t="s">
        <v>78</v>
      </c>
      <c r="E137" s="454">
        <v>2.0000000000000001E-4</v>
      </c>
      <c r="F137" s="454">
        <v>2.0000000000000001E-4</v>
      </c>
      <c r="G137" s="454">
        <v>2.0000000000000001E-4</v>
      </c>
      <c r="H137" s="454">
        <v>2.0000000000000001E-4</v>
      </c>
      <c r="I137" s="188"/>
      <c r="J137" s="454">
        <v>2.0000000000000001E-4</v>
      </c>
      <c r="K137" s="454">
        <v>2.0000000000000001E-4</v>
      </c>
      <c r="L137" s="454">
        <v>2.0000000000000001E-4</v>
      </c>
      <c r="M137" s="454">
        <v>2.0000000000000001E-4</v>
      </c>
      <c r="N137" s="454">
        <v>2.0000000000000001E-4</v>
      </c>
      <c r="O137" s="188"/>
      <c r="P137" s="454">
        <v>2.0000000000000001E-4</v>
      </c>
      <c r="Q137" s="454">
        <v>2.0000000000000001E-4</v>
      </c>
      <c r="R137" s="454">
        <v>2.0000000000000001E-4</v>
      </c>
      <c r="S137" s="454">
        <v>2.0000000000000001E-4</v>
      </c>
      <c r="T137" s="454">
        <v>2.0000000000000001E-4</v>
      </c>
      <c r="U137" s="188"/>
      <c r="V137" s="454">
        <v>2.0000000000000001E-4</v>
      </c>
      <c r="W137" s="454">
        <v>2.0000000000000001E-4</v>
      </c>
      <c r="X137" s="454">
        <v>2.0000000000000001E-4</v>
      </c>
      <c r="Y137" s="454">
        <v>2.0000000000000001E-4</v>
      </c>
      <c r="Z137" s="454">
        <v>2.0000000000000001E-4</v>
      </c>
      <c r="AA137" s="188"/>
      <c r="AB137" s="454">
        <v>2.0000000000000001E-4</v>
      </c>
      <c r="AC137" s="454">
        <v>2.0000000000000001E-4</v>
      </c>
      <c r="AD137" s="454">
        <v>2.0000000000000001E-4</v>
      </c>
      <c r="AE137" s="454">
        <v>2.0000000000000001E-4</v>
      </c>
      <c r="AF137" s="454">
        <v>2.0000000000000001E-4</v>
      </c>
      <c r="AG137" s="188"/>
      <c r="AH137" s="454">
        <v>2.0000000000000001E-4</v>
      </c>
    </row>
    <row r="138" spans="1:34" x14ac:dyDescent="0.2">
      <c r="A138" s="469"/>
      <c r="B138" s="465"/>
      <c r="C138" s="475"/>
      <c r="D138" s="251"/>
      <c r="E138" s="454"/>
      <c r="F138" s="454"/>
      <c r="G138" s="454"/>
      <c r="H138" s="454"/>
      <c r="I138" s="188"/>
      <c r="J138" s="454"/>
      <c r="K138" s="454"/>
      <c r="L138" s="454"/>
      <c r="M138" s="454"/>
      <c r="N138" s="454"/>
      <c r="O138" s="188"/>
      <c r="P138" s="454"/>
      <c r="Q138" s="454"/>
      <c r="R138" s="454"/>
      <c r="S138" s="454"/>
      <c r="T138" s="454"/>
      <c r="U138" s="188"/>
      <c r="V138" s="454"/>
      <c r="W138" s="454"/>
      <c r="X138" s="454"/>
      <c r="Y138" s="454"/>
      <c r="Z138" s="454"/>
      <c r="AA138" s="188"/>
      <c r="AB138" s="454"/>
      <c r="AC138" s="454"/>
      <c r="AD138" s="454"/>
      <c r="AE138" s="454"/>
      <c r="AF138" s="454"/>
      <c r="AG138" s="188"/>
      <c r="AH138" s="454"/>
    </row>
    <row r="139" spans="1:34" x14ac:dyDescent="0.2">
      <c r="A139" s="469"/>
      <c r="B139" s="465"/>
      <c r="C139" s="475" t="s">
        <v>7</v>
      </c>
      <c r="D139" s="272" t="s">
        <v>78</v>
      </c>
      <c r="E139" s="451">
        <v>0.01</v>
      </c>
      <c r="F139" s="451">
        <v>0.01</v>
      </c>
      <c r="G139" s="451">
        <v>0.01</v>
      </c>
      <c r="H139" s="451">
        <v>0.01</v>
      </c>
      <c r="I139" s="188"/>
      <c r="J139" s="451">
        <v>0.01</v>
      </c>
      <c r="K139" s="451">
        <v>0.01</v>
      </c>
      <c r="L139" s="451">
        <v>0.01</v>
      </c>
      <c r="M139" s="451">
        <v>0.01</v>
      </c>
      <c r="N139" s="451">
        <v>0.01</v>
      </c>
      <c r="O139" s="188"/>
      <c r="P139" s="451">
        <v>0.01</v>
      </c>
      <c r="Q139" s="451">
        <v>0.01</v>
      </c>
      <c r="R139" s="451">
        <v>0.01</v>
      </c>
      <c r="S139" s="451">
        <v>0.01</v>
      </c>
      <c r="T139" s="451">
        <v>0.01</v>
      </c>
      <c r="U139" s="188"/>
      <c r="V139" s="451">
        <v>0.01</v>
      </c>
      <c r="W139" s="451">
        <v>0.01</v>
      </c>
      <c r="X139" s="451">
        <v>0.01</v>
      </c>
      <c r="Y139" s="451">
        <v>0.01</v>
      </c>
      <c r="Z139" s="451">
        <v>0.01</v>
      </c>
      <c r="AA139" s="188"/>
      <c r="AB139" s="451">
        <v>0.01</v>
      </c>
      <c r="AC139" s="451">
        <v>0.01</v>
      </c>
      <c r="AD139" s="451">
        <v>0.01</v>
      </c>
      <c r="AE139" s="451">
        <v>0.01</v>
      </c>
      <c r="AF139" s="451">
        <v>0.01</v>
      </c>
      <c r="AG139" s="188"/>
      <c r="AH139" s="451">
        <v>0.01</v>
      </c>
    </row>
    <row r="140" spans="1:34" x14ac:dyDescent="0.2">
      <c r="A140" s="469"/>
      <c r="B140" s="465"/>
      <c r="C140" s="475"/>
      <c r="D140" s="251"/>
      <c r="E140" s="451"/>
      <c r="F140" s="451"/>
      <c r="G140" s="451"/>
      <c r="H140" s="451"/>
      <c r="I140" s="188"/>
      <c r="J140" s="451"/>
      <c r="K140" s="451"/>
      <c r="L140" s="451"/>
      <c r="M140" s="451"/>
      <c r="N140" s="451"/>
      <c r="O140" s="188"/>
      <c r="P140" s="451"/>
      <c r="Q140" s="451"/>
      <c r="R140" s="451"/>
      <c r="S140" s="451"/>
      <c r="T140" s="451"/>
      <c r="U140" s="188"/>
      <c r="V140" s="451"/>
      <c r="W140" s="451"/>
      <c r="X140" s="451"/>
      <c r="Y140" s="451"/>
      <c r="Z140" s="451"/>
      <c r="AA140" s="188"/>
      <c r="AB140" s="451"/>
      <c r="AC140" s="451"/>
      <c r="AD140" s="451"/>
      <c r="AE140" s="451"/>
      <c r="AF140" s="451"/>
      <c r="AG140" s="188"/>
      <c r="AH140" s="451"/>
    </row>
    <row r="141" spans="1:34" x14ac:dyDescent="0.2">
      <c r="A141" s="469"/>
      <c r="B141" s="465"/>
      <c r="C141" s="475" t="s">
        <v>8</v>
      </c>
      <c r="D141" s="272" t="s">
        <v>78</v>
      </c>
      <c r="E141" s="454">
        <v>5.0000000000000001E-3</v>
      </c>
      <c r="F141" s="454">
        <v>5.0000000000000001E-3</v>
      </c>
      <c r="G141" s="454">
        <v>5.0000000000000001E-3</v>
      </c>
      <c r="H141" s="454">
        <v>5.0000000000000001E-3</v>
      </c>
      <c r="I141" s="454">
        <v>5.0000000000000001E-3</v>
      </c>
      <c r="J141" s="454">
        <v>5.0000000000000001E-3</v>
      </c>
      <c r="K141" s="454">
        <v>5.0000000000000001E-3</v>
      </c>
      <c r="L141" s="454">
        <v>5.0000000000000001E-3</v>
      </c>
      <c r="M141" s="454">
        <v>5.0000000000000001E-3</v>
      </c>
      <c r="N141" s="454">
        <v>5.0000000000000001E-3</v>
      </c>
      <c r="O141" s="188"/>
      <c r="P141" s="454">
        <v>5.0000000000000001E-3</v>
      </c>
      <c r="Q141" s="454">
        <v>5.0000000000000001E-3</v>
      </c>
      <c r="R141" s="454">
        <v>5.0000000000000001E-3</v>
      </c>
      <c r="S141" s="454">
        <v>5.0000000000000001E-3</v>
      </c>
      <c r="T141" s="454">
        <v>5.0000000000000001E-3</v>
      </c>
      <c r="U141" s="188"/>
      <c r="V141" s="454">
        <v>5.0000000000000001E-3</v>
      </c>
      <c r="W141" s="454">
        <v>5.0000000000000001E-3</v>
      </c>
      <c r="X141" s="454">
        <v>5.0000000000000001E-3</v>
      </c>
      <c r="Y141" s="454">
        <v>5.0000000000000001E-3</v>
      </c>
      <c r="Z141" s="454">
        <v>5.0000000000000001E-3</v>
      </c>
      <c r="AA141" s="188"/>
      <c r="AB141" s="454">
        <v>5.0000000000000001E-3</v>
      </c>
      <c r="AC141" s="454">
        <v>5.0000000000000001E-3</v>
      </c>
      <c r="AD141" s="454">
        <v>5.0000000000000001E-3</v>
      </c>
      <c r="AE141" s="454">
        <v>5.0000000000000001E-3</v>
      </c>
      <c r="AF141" s="454">
        <v>5.0000000000000001E-3</v>
      </c>
      <c r="AG141" s="188"/>
      <c r="AH141" s="454">
        <v>5.0000000000000001E-3</v>
      </c>
    </row>
    <row r="142" spans="1:34" x14ac:dyDescent="0.2">
      <c r="A142" s="469"/>
      <c r="B142" s="465"/>
      <c r="C142" s="475"/>
      <c r="D142" s="251"/>
      <c r="E142" s="454"/>
      <c r="F142" s="454"/>
      <c r="G142" s="454"/>
      <c r="H142" s="454"/>
      <c r="I142" s="454"/>
      <c r="J142" s="454"/>
      <c r="K142" s="454"/>
      <c r="L142" s="454"/>
      <c r="M142" s="454"/>
      <c r="N142" s="454"/>
      <c r="O142" s="188"/>
      <c r="P142" s="454"/>
      <c r="Q142" s="454"/>
      <c r="R142" s="454"/>
      <c r="S142" s="454"/>
      <c r="T142" s="454"/>
      <c r="U142" s="188"/>
      <c r="V142" s="454"/>
      <c r="W142" s="454"/>
      <c r="X142" s="454"/>
      <c r="Y142" s="454"/>
      <c r="Z142" s="454"/>
      <c r="AA142" s="188"/>
      <c r="AB142" s="454"/>
      <c r="AC142" s="454"/>
      <c r="AD142" s="454"/>
      <c r="AE142" s="454"/>
      <c r="AF142" s="454"/>
      <c r="AG142" s="188"/>
      <c r="AH142" s="454"/>
    </row>
    <row r="143" spans="1:34" ht="20.399999999999999" x14ac:dyDescent="0.2">
      <c r="A143" s="469"/>
      <c r="B143" s="465" t="s">
        <v>139</v>
      </c>
      <c r="C143" s="183" t="s">
        <v>6</v>
      </c>
      <c r="D143" s="24" t="s">
        <v>135</v>
      </c>
      <c r="E143" s="181">
        <v>5</v>
      </c>
      <c r="F143" s="181">
        <v>5</v>
      </c>
      <c r="G143" s="181">
        <v>5</v>
      </c>
      <c r="H143" s="181">
        <v>5</v>
      </c>
      <c r="I143" s="188"/>
      <c r="J143" s="192">
        <v>20</v>
      </c>
      <c r="K143" s="181">
        <v>5</v>
      </c>
      <c r="L143" s="181">
        <v>5</v>
      </c>
      <c r="M143" s="181">
        <v>5</v>
      </c>
      <c r="N143" s="181">
        <v>5</v>
      </c>
      <c r="O143" s="188"/>
      <c r="P143" s="192">
        <v>20</v>
      </c>
      <c r="Q143" s="181">
        <v>5</v>
      </c>
      <c r="R143" s="181">
        <v>5</v>
      </c>
      <c r="S143" s="181">
        <v>5</v>
      </c>
      <c r="T143" s="181">
        <v>5</v>
      </c>
      <c r="U143" s="188"/>
      <c r="V143" s="192">
        <v>20</v>
      </c>
      <c r="W143" s="181">
        <v>5</v>
      </c>
      <c r="X143" s="181">
        <v>5</v>
      </c>
      <c r="Y143" s="181">
        <v>5</v>
      </c>
      <c r="Z143" s="181">
        <v>5</v>
      </c>
      <c r="AA143" s="188"/>
      <c r="AB143" s="192">
        <v>20</v>
      </c>
      <c r="AC143" s="181">
        <v>5</v>
      </c>
      <c r="AD143" s="181">
        <v>5</v>
      </c>
      <c r="AE143" s="181">
        <v>5</v>
      </c>
      <c r="AF143" s="181">
        <v>5</v>
      </c>
      <c r="AG143" s="188"/>
      <c r="AH143" s="192">
        <v>20</v>
      </c>
    </row>
    <row r="144" spans="1:34" ht="30.6" x14ac:dyDescent="0.2">
      <c r="A144" s="469"/>
      <c r="B144" s="465"/>
      <c r="C144" s="183" t="s">
        <v>7</v>
      </c>
      <c r="D144" s="24" t="s">
        <v>135</v>
      </c>
      <c r="E144" s="181">
        <v>0</v>
      </c>
      <c r="F144" s="181">
        <v>0</v>
      </c>
      <c r="G144" s="181">
        <v>0</v>
      </c>
      <c r="H144" s="181">
        <v>1</v>
      </c>
      <c r="I144" s="188"/>
      <c r="J144" s="192">
        <v>1</v>
      </c>
      <c r="K144" s="181">
        <v>0</v>
      </c>
      <c r="L144" s="181">
        <v>0</v>
      </c>
      <c r="M144" s="181">
        <v>0</v>
      </c>
      <c r="N144" s="181">
        <v>1</v>
      </c>
      <c r="O144" s="188"/>
      <c r="P144" s="192">
        <v>1</v>
      </c>
      <c r="Q144" s="181">
        <v>0</v>
      </c>
      <c r="R144" s="181">
        <v>0</v>
      </c>
      <c r="S144" s="181">
        <v>0</v>
      </c>
      <c r="T144" s="181">
        <v>1</v>
      </c>
      <c r="U144" s="188"/>
      <c r="V144" s="192">
        <v>1</v>
      </c>
      <c r="W144" s="181">
        <v>0</v>
      </c>
      <c r="X144" s="181">
        <v>0</v>
      </c>
      <c r="Y144" s="181">
        <v>0</v>
      </c>
      <c r="Z144" s="181">
        <v>1</v>
      </c>
      <c r="AA144" s="188"/>
      <c r="AB144" s="192">
        <v>1</v>
      </c>
      <c r="AC144" s="181">
        <v>0</v>
      </c>
      <c r="AD144" s="181">
        <v>0</v>
      </c>
      <c r="AE144" s="181">
        <v>0</v>
      </c>
      <c r="AF144" s="181">
        <v>1</v>
      </c>
      <c r="AG144" s="188"/>
      <c r="AH144" s="192">
        <v>1</v>
      </c>
    </row>
    <row r="145" spans="1:34" ht="30.6" x14ac:dyDescent="0.2">
      <c r="A145" s="469"/>
      <c r="B145" s="465"/>
      <c r="C145" s="183" t="s">
        <v>8</v>
      </c>
      <c r="D145" s="24" t="s">
        <v>135</v>
      </c>
      <c r="E145" s="181">
        <v>2</v>
      </c>
      <c r="F145" s="181">
        <v>2</v>
      </c>
      <c r="G145" s="181">
        <v>2</v>
      </c>
      <c r="H145" s="181">
        <v>4</v>
      </c>
      <c r="I145" s="188"/>
      <c r="J145" s="192">
        <v>10</v>
      </c>
      <c r="K145" s="181">
        <v>2</v>
      </c>
      <c r="L145" s="181">
        <v>2</v>
      </c>
      <c r="M145" s="181">
        <v>2</v>
      </c>
      <c r="N145" s="181">
        <v>4</v>
      </c>
      <c r="O145" s="188"/>
      <c r="P145" s="192">
        <v>10</v>
      </c>
      <c r="Q145" s="181">
        <v>2</v>
      </c>
      <c r="R145" s="181">
        <v>2</v>
      </c>
      <c r="S145" s="181">
        <v>2</v>
      </c>
      <c r="T145" s="181">
        <v>4</v>
      </c>
      <c r="U145" s="188"/>
      <c r="V145" s="192">
        <v>10</v>
      </c>
      <c r="W145" s="181">
        <v>2</v>
      </c>
      <c r="X145" s="181">
        <v>2</v>
      </c>
      <c r="Y145" s="181">
        <v>2</v>
      </c>
      <c r="Z145" s="181">
        <v>4</v>
      </c>
      <c r="AA145" s="188"/>
      <c r="AB145" s="192">
        <v>10</v>
      </c>
      <c r="AC145" s="181">
        <v>2</v>
      </c>
      <c r="AD145" s="181">
        <v>2</v>
      </c>
      <c r="AE145" s="181">
        <v>2</v>
      </c>
      <c r="AF145" s="181">
        <v>4</v>
      </c>
      <c r="AG145" s="188"/>
      <c r="AH145" s="192">
        <v>10</v>
      </c>
    </row>
    <row r="146" spans="1:34" x14ac:dyDescent="0.2">
      <c r="A146" s="469"/>
      <c r="B146" s="465" t="s">
        <v>140</v>
      </c>
      <c r="C146" s="475" t="s">
        <v>26</v>
      </c>
      <c r="D146" s="272" t="s">
        <v>78</v>
      </c>
      <c r="E146" s="451">
        <v>0.5</v>
      </c>
      <c r="F146" s="451">
        <v>0.5</v>
      </c>
      <c r="G146" s="451">
        <v>0.5</v>
      </c>
      <c r="H146" s="451">
        <v>0.5</v>
      </c>
      <c r="I146" s="188"/>
      <c r="J146" s="451">
        <v>0.5</v>
      </c>
      <c r="K146" s="451">
        <v>0.5</v>
      </c>
      <c r="L146" s="451">
        <v>0.5</v>
      </c>
      <c r="M146" s="451">
        <v>0.5</v>
      </c>
      <c r="N146" s="451">
        <v>0.5</v>
      </c>
      <c r="O146" s="188"/>
      <c r="P146" s="451">
        <v>0.5</v>
      </c>
      <c r="Q146" s="451">
        <v>0.5</v>
      </c>
      <c r="R146" s="451">
        <v>0.5</v>
      </c>
      <c r="S146" s="451">
        <v>0.5</v>
      </c>
      <c r="T146" s="451">
        <v>0.5</v>
      </c>
      <c r="U146" s="188"/>
      <c r="V146" s="451">
        <v>0.5</v>
      </c>
      <c r="W146" s="451">
        <v>0.5</v>
      </c>
      <c r="X146" s="451">
        <v>0.5</v>
      </c>
      <c r="Y146" s="451">
        <v>0.5</v>
      </c>
      <c r="Z146" s="451">
        <v>0.5</v>
      </c>
      <c r="AA146" s="188"/>
      <c r="AB146" s="451">
        <v>0.5</v>
      </c>
      <c r="AC146" s="451">
        <v>0.5</v>
      </c>
      <c r="AD146" s="451">
        <v>0.5</v>
      </c>
      <c r="AE146" s="451">
        <v>0.5</v>
      </c>
      <c r="AF146" s="451">
        <v>0.5</v>
      </c>
      <c r="AG146" s="188"/>
      <c r="AH146" s="451">
        <v>0.5</v>
      </c>
    </row>
    <row r="147" spans="1:34" x14ac:dyDescent="0.2">
      <c r="A147" s="469"/>
      <c r="B147" s="465"/>
      <c r="C147" s="475"/>
      <c r="D147" s="251"/>
      <c r="E147" s="451"/>
      <c r="F147" s="451"/>
      <c r="G147" s="451"/>
      <c r="H147" s="451"/>
      <c r="I147" s="188"/>
      <c r="J147" s="451"/>
      <c r="K147" s="451"/>
      <c r="L147" s="451"/>
      <c r="M147" s="451"/>
      <c r="N147" s="451"/>
      <c r="O147" s="188"/>
      <c r="P147" s="451"/>
      <c r="Q147" s="451"/>
      <c r="R147" s="451"/>
      <c r="S147" s="451"/>
      <c r="T147" s="451"/>
      <c r="U147" s="188"/>
      <c r="V147" s="451"/>
      <c r="W147" s="451"/>
      <c r="X147" s="451"/>
      <c r="Y147" s="451"/>
      <c r="Z147" s="451"/>
      <c r="AA147" s="188"/>
      <c r="AB147" s="451"/>
      <c r="AC147" s="451"/>
      <c r="AD147" s="451"/>
      <c r="AE147" s="451"/>
      <c r="AF147" s="451"/>
      <c r="AG147" s="188"/>
      <c r="AH147" s="451"/>
    </row>
    <row r="148" spans="1:34" x14ac:dyDescent="0.2">
      <c r="A148" s="469"/>
      <c r="B148" s="465"/>
      <c r="C148" s="475" t="s">
        <v>7</v>
      </c>
      <c r="D148" s="272" t="s">
        <v>78</v>
      </c>
      <c r="E148" s="451">
        <v>1</v>
      </c>
      <c r="F148" s="451">
        <v>1</v>
      </c>
      <c r="G148" s="451">
        <v>1</v>
      </c>
      <c r="H148" s="451">
        <v>1</v>
      </c>
      <c r="I148" s="188"/>
      <c r="J148" s="451">
        <v>1</v>
      </c>
      <c r="K148" s="451">
        <v>1</v>
      </c>
      <c r="L148" s="451">
        <v>1</v>
      </c>
      <c r="M148" s="451">
        <v>1</v>
      </c>
      <c r="N148" s="451">
        <v>1</v>
      </c>
      <c r="O148" s="188"/>
      <c r="P148" s="451">
        <v>1</v>
      </c>
      <c r="Q148" s="451">
        <v>1</v>
      </c>
      <c r="R148" s="451">
        <v>1</v>
      </c>
      <c r="S148" s="451">
        <v>1</v>
      </c>
      <c r="T148" s="451">
        <v>1</v>
      </c>
      <c r="U148" s="188"/>
      <c r="V148" s="451">
        <v>1</v>
      </c>
      <c r="W148" s="451">
        <v>1</v>
      </c>
      <c r="X148" s="451">
        <v>1</v>
      </c>
      <c r="Y148" s="451">
        <v>1</v>
      </c>
      <c r="Z148" s="451">
        <v>1</v>
      </c>
      <c r="AA148" s="188"/>
      <c r="AB148" s="451">
        <v>1</v>
      </c>
      <c r="AC148" s="451">
        <v>1</v>
      </c>
      <c r="AD148" s="451">
        <v>1</v>
      </c>
      <c r="AE148" s="451">
        <v>1</v>
      </c>
      <c r="AF148" s="451">
        <v>1</v>
      </c>
      <c r="AG148" s="188"/>
      <c r="AH148" s="451">
        <v>1</v>
      </c>
    </row>
    <row r="149" spans="1:34" x14ac:dyDescent="0.2">
      <c r="A149" s="469"/>
      <c r="B149" s="465"/>
      <c r="C149" s="475"/>
      <c r="D149" s="251"/>
      <c r="E149" s="451"/>
      <c r="F149" s="451"/>
      <c r="G149" s="451"/>
      <c r="H149" s="451"/>
      <c r="I149" s="188"/>
      <c r="J149" s="451"/>
      <c r="K149" s="451"/>
      <c r="L149" s="451"/>
      <c r="M149" s="451"/>
      <c r="N149" s="451"/>
      <c r="O149" s="188"/>
      <c r="P149" s="451"/>
      <c r="Q149" s="451"/>
      <c r="R149" s="451"/>
      <c r="S149" s="451"/>
      <c r="T149" s="451"/>
      <c r="U149" s="188"/>
      <c r="V149" s="451"/>
      <c r="W149" s="451"/>
      <c r="X149" s="451"/>
      <c r="Y149" s="451"/>
      <c r="Z149" s="451"/>
      <c r="AA149" s="188"/>
      <c r="AB149" s="451"/>
      <c r="AC149" s="451"/>
      <c r="AD149" s="451"/>
      <c r="AE149" s="451"/>
      <c r="AF149" s="451"/>
      <c r="AG149" s="188"/>
      <c r="AH149" s="451"/>
    </row>
    <row r="150" spans="1:34" x14ac:dyDescent="0.2">
      <c r="A150" s="469"/>
      <c r="B150" s="465"/>
      <c r="C150" s="475" t="s">
        <v>8</v>
      </c>
      <c r="D150" s="272" t="s">
        <v>78</v>
      </c>
      <c r="E150" s="451">
        <v>0.5</v>
      </c>
      <c r="F150" s="451">
        <v>0.5</v>
      </c>
      <c r="G150" s="451">
        <v>0.5</v>
      </c>
      <c r="H150" s="451">
        <v>0.5</v>
      </c>
      <c r="I150" s="188"/>
      <c r="J150" s="451">
        <v>0.5</v>
      </c>
      <c r="K150" s="451">
        <v>0.5</v>
      </c>
      <c r="L150" s="451">
        <v>0.5</v>
      </c>
      <c r="M150" s="451">
        <v>0.5</v>
      </c>
      <c r="N150" s="451">
        <v>0.5</v>
      </c>
      <c r="O150" s="188"/>
      <c r="P150" s="451">
        <v>0.5</v>
      </c>
      <c r="Q150" s="451">
        <v>0.5</v>
      </c>
      <c r="R150" s="451">
        <v>0.5</v>
      </c>
      <c r="S150" s="451">
        <v>0.5</v>
      </c>
      <c r="T150" s="451">
        <v>0.5</v>
      </c>
      <c r="U150" s="188"/>
      <c r="V150" s="451">
        <v>0.5</v>
      </c>
      <c r="W150" s="451">
        <v>0.5</v>
      </c>
      <c r="X150" s="451">
        <v>0.5</v>
      </c>
      <c r="Y150" s="451">
        <v>0.5</v>
      </c>
      <c r="Z150" s="451">
        <v>0.5</v>
      </c>
      <c r="AA150" s="188"/>
      <c r="AB150" s="451">
        <v>0.5</v>
      </c>
      <c r="AC150" s="451">
        <v>0.5</v>
      </c>
      <c r="AD150" s="451">
        <v>0.5</v>
      </c>
      <c r="AE150" s="451">
        <v>0.5</v>
      </c>
      <c r="AF150" s="451">
        <v>0.5</v>
      </c>
      <c r="AG150" s="188"/>
      <c r="AH150" s="451">
        <v>0.5</v>
      </c>
    </row>
    <row r="151" spans="1:34" x14ac:dyDescent="0.2">
      <c r="A151" s="469"/>
      <c r="B151" s="465"/>
      <c r="C151" s="475"/>
      <c r="D151" s="251"/>
      <c r="E151" s="451"/>
      <c r="F151" s="451"/>
      <c r="G151" s="451"/>
      <c r="H151" s="451"/>
      <c r="I151" s="188"/>
      <c r="J151" s="451"/>
      <c r="K151" s="451"/>
      <c r="L151" s="451"/>
      <c r="M151" s="451"/>
      <c r="N151" s="451"/>
      <c r="O151" s="188"/>
      <c r="P151" s="451"/>
      <c r="Q151" s="451"/>
      <c r="R151" s="451"/>
      <c r="S151" s="451"/>
      <c r="T151" s="451"/>
      <c r="U151" s="188"/>
      <c r="V151" s="451"/>
      <c r="W151" s="451"/>
      <c r="X151" s="451"/>
      <c r="Y151" s="451"/>
      <c r="Z151" s="451"/>
      <c r="AA151" s="188"/>
      <c r="AB151" s="451"/>
      <c r="AC151" s="451"/>
      <c r="AD151" s="451"/>
      <c r="AE151" s="451"/>
      <c r="AF151" s="451"/>
      <c r="AG151" s="188"/>
      <c r="AH151" s="451"/>
    </row>
    <row r="152" spans="1:34" x14ac:dyDescent="0.2">
      <c r="A152" s="176">
        <v>1.6</v>
      </c>
      <c r="B152" s="464" t="s">
        <v>27</v>
      </c>
      <c r="C152" s="464"/>
      <c r="D152" s="265"/>
      <c r="E152" s="265"/>
      <c r="F152" s="265"/>
      <c r="G152" s="265"/>
      <c r="H152" s="265"/>
      <c r="I152" s="265"/>
      <c r="J152" s="265"/>
      <c r="K152" s="265"/>
      <c r="L152" s="265"/>
      <c r="M152" s="265"/>
      <c r="N152" s="265"/>
      <c r="O152" s="265"/>
      <c r="P152" s="265"/>
      <c r="Q152" s="265"/>
      <c r="R152" s="265"/>
      <c r="S152" s="265"/>
      <c r="T152" s="265"/>
      <c r="U152" s="265"/>
      <c r="V152" s="265"/>
      <c r="W152" s="265"/>
      <c r="X152" s="265"/>
      <c r="Y152" s="265"/>
      <c r="Z152" s="265"/>
      <c r="AA152" s="265"/>
      <c r="AB152" s="265"/>
      <c r="AC152" s="265"/>
      <c r="AD152" s="265"/>
      <c r="AE152" s="265"/>
      <c r="AF152" s="265"/>
      <c r="AG152" s="265"/>
      <c r="AH152" s="265"/>
    </row>
    <row r="153" spans="1:34" x14ac:dyDescent="0.2">
      <c r="A153" s="476"/>
      <c r="B153" s="468" t="s">
        <v>126</v>
      </c>
      <c r="C153" s="475" t="s">
        <v>26</v>
      </c>
      <c r="D153" s="272" t="s">
        <v>78</v>
      </c>
      <c r="E153" s="454">
        <v>5.0000000000000001E-4</v>
      </c>
      <c r="F153" s="454">
        <v>5.0000000000000001E-4</v>
      </c>
      <c r="G153" s="454">
        <v>5.0000000000000001E-4</v>
      </c>
      <c r="H153" s="454">
        <v>5.0000000000000001E-4</v>
      </c>
      <c r="I153" s="185"/>
      <c r="J153" s="454">
        <v>5.0000000000000001E-4</v>
      </c>
      <c r="K153" s="454">
        <v>5.0000000000000001E-4</v>
      </c>
      <c r="L153" s="454">
        <v>5.0000000000000001E-4</v>
      </c>
      <c r="M153" s="454">
        <v>5.0000000000000001E-4</v>
      </c>
      <c r="N153" s="454">
        <v>5.0000000000000001E-4</v>
      </c>
      <c r="O153" s="188"/>
      <c r="P153" s="454">
        <v>5.0000000000000001E-4</v>
      </c>
      <c r="Q153" s="454">
        <v>5.0000000000000001E-4</v>
      </c>
      <c r="R153" s="454">
        <v>5.0000000000000001E-4</v>
      </c>
      <c r="S153" s="454">
        <v>5.0000000000000001E-4</v>
      </c>
      <c r="T153" s="454">
        <v>5.0000000000000001E-4</v>
      </c>
      <c r="U153" s="188"/>
      <c r="V153" s="454">
        <v>5.0000000000000001E-4</v>
      </c>
      <c r="W153" s="454">
        <v>5.0000000000000001E-4</v>
      </c>
      <c r="X153" s="454">
        <v>5.0000000000000001E-4</v>
      </c>
      <c r="Y153" s="454">
        <v>5.0000000000000001E-4</v>
      </c>
      <c r="Z153" s="454">
        <v>5.0000000000000001E-4</v>
      </c>
      <c r="AA153" s="188"/>
      <c r="AB153" s="454">
        <v>5.0000000000000001E-4</v>
      </c>
      <c r="AC153" s="454">
        <v>5.0000000000000001E-4</v>
      </c>
      <c r="AD153" s="454">
        <v>5.0000000000000001E-4</v>
      </c>
      <c r="AE153" s="454">
        <v>5.0000000000000001E-4</v>
      </c>
      <c r="AF153" s="454">
        <v>5.0000000000000001E-4</v>
      </c>
      <c r="AG153" s="188"/>
      <c r="AH153" s="454">
        <v>5.0000000000000001E-4</v>
      </c>
    </row>
    <row r="154" spans="1:34" x14ac:dyDescent="0.2">
      <c r="A154" s="476"/>
      <c r="B154" s="468"/>
      <c r="C154" s="475"/>
      <c r="D154" s="251"/>
      <c r="E154" s="454"/>
      <c r="F154" s="454"/>
      <c r="G154" s="454"/>
      <c r="H154" s="454"/>
      <c r="I154" s="188"/>
      <c r="J154" s="454"/>
      <c r="K154" s="454"/>
      <c r="L154" s="454"/>
      <c r="M154" s="454"/>
      <c r="N154" s="454"/>
      <c r="O154" s="188"/>
      <c r="P154" s="454"/>
      <c r="Q154" s="454"/>
      <c r="R154" s="454"/>
      <c r="S154" s="454"/>
      <c r="T154" s="454"/>
      <c r="U154" s="188"/>
      <c r="V154" s="454"/>
      <c r="W154" s="454"/>
      <c r="X154" s="454"/>
      <c r="Y154" s="454"/>
      <c r="Z154" s="454"/>
      <c r="AA154" s="188"/>
      <c r="AB154" s="454"/>
      <c r="AC154" s="454"/>
      <c r="AD154" s="454"/>
      <c r="AE154" s="454"/>
      <c r="AF154" s="454"/>
      <c r="AG154" s="188"/>
      <c r="AH154" s="454"/>
    </row>
    <row r="155" spans="1:34" x14ac:dyDescent="0.2">
      <c r="A155" s="476"/>
      <c r="B155" s="468"/>
      <c r="C155" s="475" t="s">
        <v>7</v>
      </c>
      <c r="D155" s="272" t="s">
        <v>78</v>
      </c>
      <c r="E155" s="451">
        <v>0.01</v>
      </c>
      <c r="F155" s="451">
        <v>0.01</v>
      </c>
      <c r="G155" s="451">
        <v>0.01</v>
      </c>
      <c r="H155" s="451">
        <v>0.01</v>
      </c>
      <c r="I155" s="188"/>
      <c r="J155" s="451">
        <v>0.01</v>
      </c>
      <c r="K155" s="451">
        <v>0.01</v>
      </c>
      <c r="L155" s="451">
        <v>0.01</v>
      </c>
      <c r="M155" s="451">
        <v>0.01</v>
      </c>
      <c r="N155" s="451">
        <v>0.01</v>
      </c>
      <c r="O155" s="188"/>
      <c r="P155" s="451">
        <v>0.01</v>
      </c>
      <c r="Q155" s="451">
        <v>0.01</v>
      </c>
      <c r="R155" s="451">
        <v>0.01</v>
      </c>
      <c r="S155" s="451">
        <v>0.01</v>
      </c>
      <c r="T155" s="451">
        <v>0.01</v>
      </c>
      <c r="U155" s="188"/>
      <c r="V155" s="451">
        <v>0.01</v>
      </c>
      <c r="W155" s="451">
        <v>0.01</v>
      </c>
      <c r="X155" s="451">
        <v>0.01</v>
      </c>
      <c r="Y155" s="451">
        <v>0.01</v>
      </c>
      <c r="Z155" s="451">
        <v>0.01</v>
      </c>
      <c r="AA155" s="188"/>
      <c r="AB155" s="451">
        <v>0.01</v>
      </c>
      <c r="AC155" s="451">
        <v>0.01</v>
      </c>
      <c r="AD155" s="451">
        <v>0.01</v>
      </c>
      <c r="AE155" s="451">
        <v>0.01</v>
      </c>
      <c r="AF155" s="451">
        <v>0.01</v>
      </c>
      <c r="AG155" s="188"/>
      <c r="AH155" s="451">
        <v>0.01</v>
      </c>
    </row>
    <row r="156" spans="1:34" x14ac:dyDescent="0.2">
      <c r="A156" s="476"/>
      <c r="B156" s="468"/>
      <c r="C156" s="475"/>
      <c r="D156" s="251"/>
      <c r="E156" s="451"/>
      <c r="F156" s="451"/>
      <c r="G156" s="451"/>
      <c r="H156" s="451"/>
      <c r="I156" s="188"/>
      <c r="J156" s="451"/>
      <c r="K156" s="451"/>
      <c r="L156" s="451"/>
      <c r="M156" s="451"/>
      <c r="N156" s="451"/>
      <c r="O156" s="188"/>
      <c r="P156" s="451"/>
      <c r="Q156" s="451"/>
      <c r="R156" s="451"/>
      <c r="S156" s="451"/>
      <c r="T156" s="451"/>
      <c r="U156" s="188"/>
      <c r="V156" s="451"/>
      <c r="W156" s="451"/>
      <c r="X156" s="451"/>
      <c r="Y156" s="451"/>
      <c r="Z156" s="451"/>
      <c r="AA156" s="188"/>
      <c r="AB156" s="451"/>
      <c r="AC156" s="451"/>
      <c r="AD156" s="451"/>
      <c r="AE156" s="451"/>
      <c r="AF156" s="451"/>
      <c r="AG156" s="188"/>
      <c r="AH156" s="451"/>
    </row>
    <row r="157" spans="1:34" x14ac:dyDescent="0.2">
      <c r="A157" s="476"/>
      <c r="B157" s="468"/>
      <c r="C157" s="475" t="s">
        <v>8</v>
      </c>
      <c r="D157" s="272" t="s">
        <v>78</v>
      </c>
      <c r="E157" s="451">
        <v>0.01</v>
      </c>
      <c r="F157" s="451">
        <v>0.01</v>
      </c>
      <c r="G157" s="451">
        <v>0.01</v>
      </c>
      <c r="H157" s="451">
        <v>0.01</v>
      </c>
      <c r="I157" s="188"/>
      <c r="J157" s="451">
        <v>0.01</v>
      </c>
      <c r="K157" s="451">
        <v>0.01</v>
      </c>
      <c r="L157" s="451">
        <v>0.01</v>
      </c>
      <c r="M157" s="451">
        <v>0.01</v>
      </c>
      <c r="N157" s="451">
        <v>0.01</v>
      </c>
      <c r="O157" s="188"/>
      <c r="P157" s="451">
        <v>0.01</v>
      </c>
      <c r="Q157" s="451">
        <v>0.01</v>
      </c>
      <c r="R157" s="451">
        <v>0.01</v>
      </c>
      <c r="S157" s="451">
        <v>0.01</v>
      </c>
      <c r="T157" s="451">
        <v>0.01</v>
      </c>
      <c r="U157" s="188"/>
      <c r="V157" s="451">
        <v>0.01</v>
      </c>
      <c r="W157" s="451">
        <v>0.01</v>
      </c>
      <c r="X157" s="451">
        <v>0.01</v>
      </c>
      <c r="Y157" s="451">
        <v>0.01</v>
      </c>
      <c r="Z157" s="451">
        <v>0.01</v>
      </c>
      <c r="AA157" s="188"/>
      <c r="AB157" s="451">
        <v>0.01</v>
      </c>
      <c r="AC157" s="451">
        <v>0.01</v>
      </c>
      <c r="AD157" s="451">
        <v>0.01</v>
      </c>
      <c r="AE157" s="451">
        <v>0.01</v>
      </c>
      <c r="AF157" s="451">
        <v>0.01</v>
      </c>
      <c r="AG157" s="188"/>
      <c r="AH157" s="451">
        <v>0.01</v>
      </c>
    </row>
    <row r="158" spans="1:34" x14ac:dyDescent="0.2">
      <c r="A158" s="476"/>
      <c r="B158" s="468"/>
      <c r="C158" s="475"/>
      <c r="D158" s="251"/>
      <c r="E158" s="451"/>
      <c r="F158" s="451"/>
      <c r="G158" s="451"/>
      <c r="H158" s="451"/>
      <c r="I158" s="188"/>
      <c r="J158" s="451"/>
      <c r="K158" s="451"/>
      <c r="L158" s="451"/>
      <c r="M158" s="451"/>
      <c r="N158" s="451"/>
      <c r="O158" s="188"/>
      <c r="P158" s="451"/>
      <c r="Q158" s="451"/>
      <c r="R158" s="451"/>
      <c r="S158" s="451"/>
      <c r="T158" s="451"/>
      <c r="U158" s="188"/>
      <c r="V158" s="451"/>
      <c r="W158" s="451"/>
      <c r="X158" s="451"/>
      <c r="Y158" s="451"/>
      <c r="Z158" s="451"/>
      <c r="AA158" s="188"/>
      <c r="AB158" s="451"/>
      <c r="AC158" s="451"/>
      <c r="AD158" s="451"/>
      <c r="AE158" s="451"/>
      <c r="AF158" s="451"/>
      <c r="AG158" s="188"/>
      <c r="AH158" s="451"/>
    </row>
    <row r="159" spans="1:34" x14ac:dyDescent="0.2">
      <c r="A159" s="476"/>
      <c r="B159" s="468" t="s">
        <v>127</v>
      </c>
      <c r="C159" s="475" t="s">
        <v>26</v>
      </c>
      <c r="D159" s="272" t="s">
        <v>78</v>
      </c>
      <c r="E159" s="454">
        <v>5.0000000000000001E-4</v>
      </c>
      <c r="F159" s="454">
        <v>5.0000000000000001E-4</v>
      </c>
      <c r="G159" s="454">
        <v>5.0000000000000001E-4</v>
      </c>
      <c r="H159" s="454">
        <v>5.0000000000000001E-4</v>
      </c>
      <c r="I159" s="188"/>
      <c r="J159" s="454">
        <v>5.0000000000000001E-4</v>
      </c>
      <c r="K159" s="454">
        <v>5.0000000000000001E-4</v>
      </c>
      <c r="L159" s="454">
        <v>5.0000000000000001E-4</v>
      </c>
      <c r="M159" s="454">
        <v>5.0000000000000001E-4</v>
      </c>
      <c r="N159" s="454">
        <v>5.0000000000000001E-4</v>
      </c>
      <c r="O159" s="188"/>
      <c r="P159" s="454">
        <v>5.0000000000000001E-4</v>
      </c>
      <c r="Q159" s="454">
        <v>5.0000000000000001E-4</v>
      </c>
      <c r="R159" s="454">
        <v>5.0000000000000001E-4</v>
      </c>
      <c r="S159" s="454">
        <v>5.0000000000000001E-4</v>
      </c>
      <c r="T159" s="454">
        <v>5.0000000000000001E-4</v>
      </c>
      <c r="U159" s="188"/>
      <c r="V159" s="454">
        <v>5.0000000000000001E-4</v>
      </c>
      <c r="W159" s="454">
        <v>5.0000000000000001E-4</v>
      </c>
      <c r="X159" s="454">
        <v>5.0000000000000001E-4</v>
      </c>
      <c r="Y159" s="454">
        <v>5.0000000000000001E-4</v>
      </c>
      <c r="Z159" s="454">
        <v>5.0000000000000001E-4</v>
      </c>
      <c r="AA159" s="188"/>
      <c r="AB159" s="454">
        <v>5.0000000000000001E-4</v>
      </c>
      <c r="AC159" s="454">
        <v>5.0000000000000001E-4</v>
      </c>
      <c r="AD159" s="454">
        <v>5.0000000000000001E-4</v>
      </c>
      <c r="AE159" s="454">
        <v>5.0000000000000001E-4</v>
      </c>
      <c r="AF159" s="454">
        <v>5.0000000000000001E-4</v>
      </c>
      <c r="AG159" s="188"/>
      <c r="AH159" s="454">
        <v>5.0000000000000001E-4</v>
      </c>
    </row>
    <row r="160" spans="1:34" x14ac:dyDescent="0.2">
      <c r="A160" s="476"/>
      <c r="B160" s="468"/>
      <c r="C160" s="475"/>
      <c r="D160" s="251"/>
      <c r="E160" s="454"/>
      <c r="F160" s="454"/>
      <c r="G160" s="454"/>
      <c r="H160" s="454"/>
      <c r="I160" s="188"/>
      <c r="J160" s="454"/>
      <c r="K160" s="454"/>
      <c r="L160" s="454"/>
      <c r="M160" s="454"/>
      <c r="N160" s="454"/>
      <c r="O160" s="188"/>
      <c r="P160" s="454"/>
      <c r="Q160" s="454"/>
      <c r="R160" s="454"/>
      <c r="S160" s="454"/>
      <c r="T160" s="454"/>
      <c r="U160" s="188"/>
      <c r="V160" s="454"/>
      <c r="W160" s="454"/>
      <c r="X160" s="454"/>
      <c r="Y160" s="454"/>
      <c r="Z160" s="454"/>
      <c r="AA160" s="188"/>
      <c r="AB160" s="454"/>
      <c r="AC160" s="454"/>
      <c r="AD160" s="454"/>
      <c r="AE160" s="454"/>
      <c r="AF160" s="454"/>
      <c r="AG160" s="188"/>
      <c r="AH160" s="454"/>
    </row>
    <row r="161" spans="1:34" x14ac:dyDescent="0.2">
      <c r="A161" s="476"/>
      <c r="B161" s="468"/>
      <c r="C161" s="475" t="s">
        <v>7</v>
      </c>
      <c r="D161" s="272" t="s">
        <v>78</v>
      </c>
      <c r="E161" s="451">
        <v>0.01</v>
      </c>
      <c r="F161" s="451">
        <v>0.01</v>
      </c>
      <c r="G161" s="451">
        <v>0.01</v>
      </c>
      <c r="H161" s="451">
        <v>0.01</v>
      </c>
      <c r="I161" s="188"/>
      <c r="J161" s="451">
        <v>0.01</v>
      </c>
      <c r="K161" s="451">
        <v>0.01</v>
      </c>
      <c r="L161" s="451">
        <v>0.01</v>
      </c>
      <c r="M161" s="451">
        <v>0.01</v>
      </c>
      <c r="N161" s="451">
        <v>0.01</v>
      </c>
      <c r="O161" s="188"/>
      <c r="P161" s="451">
        <v>0.01</v>
      </c>
      <c r="Q161" s="451">
        <v>0.01</v>
      </c>
      <c r="R161" s="451">
        <v>0.01</v>
      </c>
      <c r="S161" s="451">
        <v>0.01</v>
      </c>
      <c r="T161" s="451">
        <v>0.01</v>
      </c>
      <c r="U161" s="188"/>
      <c r="V161" s="451">
        <v>0.01</v>
      </c>
      <c r="W161" s="451">
        <v>0.01</v>
      </c>
      <c r="X161" s="451">
        <v>0.01</v>
      </c>
      <c r="Y161" s="451">
        <v>0.01</v>
      </c>
      <c r="Z161" s="451">
        <v>0.01</v>
      </c>
      <c r="AA161" s="188"/>
      <c r="AB161" s="451">
        <v>0.01</v>
      </c>
      <c r="AC161" s="451">
        <v>0.01</v>
      </c>
      <c r="AD161" s="451">
        <v>0.01</v>
      </c>
      <c r="AE161" s="451">
        <v>0.01</v>
      </c>
      <c r="AF161" s="451">
        <v>0.01</v>
      </c>
      <c r="AG161" s="188"/>
      <c r="AH161" s="451">
        <v>0.01</v>
      </c>
    </row>
    <row r="162" spans="1:34" x14ac:dyDescent="0.2">
      <c r="A162" s="476"/>
      <c r="B162" s="468"/>
      <c r="C162" s="475"/>
      <c r="D162" s="251"/>
      <c r="E162" s="451"/>
      <c r="F162" s="451"/>
      <c r="G162" s="451"/>
      <c r="H162" s="451"/>
      <c r="I162" s="188"/>
      <c r="J162" s="451"/>
      <c r="K162" s="451"/>
      <c r="L162" s="451"/>
      <c r="M162" s="451"/>
      <c r="N162" s="451"/>
      <c r="O162" s="188"/>
      <c r="P162" s="451"/>
      <c r="Q162" s="451"/>
      <c r="R162" s="451"/>
      <c r="S162" s="451"/>
      <c r="T162" s="451"/>
      <c r="U162" s="188"/>
      <c r="V162" s="451"/>
      <c r="W162" s="451"/>
      <c r="X162" s="451"/>
      <c r="Y162" s="451"/>
      <c r="Z162" s="451"/>
      <c r="AA162" s="188"/>
      <c r="AB162" s="451"/>
      <c r="AC162" s="451"/>
      <c r="AD162" s="451"/>
      <c r="AE162" s="451"/>
      <c r="AF162" s="451"/>
      <c r="AG162" s="188"/>
      <c r="AH162" s="451"/>
    </row>
    <row r="163" spans="1:34" x14ac:dyDescent="0.2">
      <c r="A163" s="476"/>
      <c r="B163" s="468"/>
      <c r="C163" s="475" t="s">
        <v>8</v>
      </c>
      <c r="D163" s="272" t="s">
        <v>78</v>
      </c>
      <c r="E163" s="451">
        <v>0.01</v>
      </c>
      <c r="F163" s="451">
        <v>0.01</v>
      </c>
      <c r="G163" s="451">
        <v>0.01</v>
      </c>
      <c r="H163" s="451">
        <v>0.01</v>
      </c>
      <c r="I163" s="188"/>
      <c r="J163" s="451">
        <v>0.01</v>
      </c>
      <c r="K163" s="451">
        <v>0.01</v>
      </c>
      <c r="L163" s="451">
        <v>0.01</v>
      </c>
      <c r="M163" s="451">
        <v>0.01</v>
      </c>
      <c r="N163" s="451">
        <v>0.01</v>
      </c>
      <c r="O163" s="188"/>
      <c r="P163" s="451">
        <v>0.01</v>
      </c>
      <c r="Q163" s="451">
        <v>0.01</v>
      </c>
      <c r="R163" s="451">
        <v>0.01</v>
      </c>
      <c r="S163" s="451">
        <v>0.01</v>
      </c>
      <c r="T163" s="451">
        <v>0.01</v>
      </c>
      <c r="U163" s="188"/>
      <c r="V163" s="451">
        <v>0.01</v>
      </c>
      <c r="W163" s="451">
        <v>0.01</v>
      </c>
      <c r="X163" s="451">
        <v>0.01</v>
      </c>
      <c r="Y163" s="451">
        <v>0.01</v>
      </c>
      <c r="Z163" s="451">
        <v>0.01</v>
      </c>
      <c r="AA163" s="188"/>
      <c r="AB163" s="451">
        <v>0.01</v>
      </c>
      <c r="AC163" s="451">
        <v>0.01</v>
      </c>
      <c r="AD163" s="451">
        <v>0.01</v>
      </c>
      <c r="AE163" s="451">
        <v>0.01</v>
      </c>
      <c r="AF163" s="451">
        <v>0.01</v>
      </c>
      <c r="AG163" s="188"/>
      <c r="AH163" s="451">
        <v>0.01</v>
      </c>
    </row>
    <row r="164" spans="1:34" x14ac:dyDescent="0.2">
      <c r="A164" s="476"/>
      <c r="B164" s="468"/>
      <c r="C164" s="475"/>
      <c r="D164" s="251"/>
      <c r="E164" s="451"/>
      <c r="F164" s="451"/>
      <c r="G164" s="451"/>
      <c r="H164" s="451"/>
      <c r="I164" s="188"/>
      <c r="J164" s="451"/>
      <c r="K164" s="451"/>
      <c r="L164" s="451"/>
      <c r="M164" s="451"/>
      <c r="N164" s="451"/>
      <c r="O164" s="188"/>
      <c r="P164" s="451"/>
      <c r="Q164" s="451"/>
      <c r="R164" s="451"/>
      <c r="S164" s="451"/>
      <c r="T164" s="451"/>
      <c r="U164" s="188"/>
      <c r="V164" s="451"/>
      <c r="W164" s="451"/>
      <c r="X164" s="451"/>
      <c r="Y164" s="451"/>
      <c r="Z164" s="451"/>
      <c r="AA164" s="188"/>
      <c r="AB164" s="451"/>
      <c r="AC164" s="451"/>
      <c r="AD164" s="451"/>
      <c r="AE164" s="451"/>
      <c r="AF164" s="451"/>
      <c r="AG164" s="188"/>
      <c r="AH164" s="451"/>
    </row>
    <row r="165" spans="1:34" x14ac:dyDescent="0.2">
      <c r="A165" s="476"/>
      <c r="B165" s="465" t="s">
        <v>128</v>
      </c>
      <c r="C165" s="475" t="s">
        <v>6</v>
      </c>
      <c r="D165" s="272" t="s">
        <v>78</v>
      </c>
      <c r="E165" s="451">
        <v>0</v>
      </c>
      <c r="F165" s="451">
        <v>0</v>
      </c>
      <c r="G165" s="451">
        <v>0</v>
      </c>
      <c r="H165" s="451">
        <v>0</v>
      </c>
      <c r="I165" s="188"/>
      <c r="J165" s="451">
        <v>0</v>
      </c>
      <c r="K165" s="451">
        <v>0</v>
      </c>
      <c r="L165" s="451">
        <v>0</v>
      </c>
      <c r="M165" s="451">
        <v>0</v>
      </c>
      <c r="N165" s="451">
        <v>0</v>
      </c>
      <c r="O165" s="188"/>
      <c r="P165" s="451">
        <v>0</v>
      </c>
      <c r="Q165" s="451">
        <v>0</v>
      </c>
      <c r="R165" s="451">
        <v>0</v>
      </c>
      <c r="S165" s="451">
        <v>0</v>
      </c>
      <c r="T165" s="451">
        <v>0</v>
      </c>
      <c r="U165" s="188"/>
      <c r="V165" s="451">
        <v>0</v>
      </c>
      <c r="W165" s="451">
        <v>0</v>
      </c>
      <c r="X165" s="451">
        <v>0</v>
      </c>
      <c r="Y165" s="451">
        <v>0</v>
      </c>
      <c r="Z165" s="451">
        <v>0</v>
      </c>
      <c r="AA165" s="188"/>
      <c r="AB165" s="451">
        <v>0</v>
      </c>
      <c r="AC165" s="451">
        <v>0</v>
      </c>
      <c r="AD165" s="451">
        <v>0</v>
      </c>
      <c r="AE165" s="451">
        <v>0</v>
      </c>
      <c r="AF165" s="451">
        <v>0</v>
      </c>
      <c r="AG165" s="188"/>
      <c r="AH165" s="451">
        <v>0</v>
      </c>
    </row>
    <row r="166" spans="1:34" x14ac:dyDescent="0.2">
      <c r="A166" s="476"/>
      <c r="B166" s="465"/>
      <c r="C166" s="475"/>
      <c r="D166" s="251"/>
      <c r="E166" s="451"/>
      <c r="F166" s="451"/>
      <c r="G166" s="451"/>
      <c r="H166" s="451"/>
      <c r="I166" s="188"/>
      <c r="J166" s="451"/>
      <c r="K166" s="451"/>
      <c r="L166" s="451"/>
      <c r="M166" s="451"/>
      <c r="N166" s="451"/>
      <c r="O166" s="188"/>
      <c r="P166" s="451"/>
      <c r="Q166" s="451"/>
      <c r="R166" s="451"/>
      <c r="S166" s="451"/>
      <c r="T166" s="451"/>
      <c r="U166" s="188"/>
      <c r="V166" s="451"/>
      <c r="W166" s="451"/>
      <c r="X166" s="451"/>
      <c r="Y166" s="451"/>
      <c r="Z166" s="451"/>
      <c r="AA166" s="188"/>
      <c r="AB166" s="451"/>
      <c r="AC166" s="451"/>
      <c r="AD166" s="451"/>
      <c r="AE166" s="451"/>
      <c r="AF166" s="451"/>
      <c r="AG166" s="188"/>
      <c r="AH166" s="451"/>
    </row>
    <row r="167" spans="1:34" x14ac:dyDescent="0.2">
      <c r="A167" s="476"/>
      <c r="B167" s="465"/>
      <c r="C167" s="475" t="s">
        <v>7</v>
      </c>
      <c r="D167" s="272" t="s">
        <v>78</v>
      </c>
      <c r="E167" s="451">
        <v>0</v>
      </c>
      <c r="F167" s="451">
        <v>0</v>
      </c>
      <c r="G167" s="451">
        <v>0</v>
      </c>
      <c r="H167" s="451">
        <v>0</v>
      </c>
      <c r="I167" s="188"/>
      <c r="J167" s="451">
        <v>0</v>
      </c>
      <c r="K167" s="451">
        <v>0</v>
      </c>
      <c r="L167" s="451">
        <v>0</v>
      </c>
      <c r="M167" s="451">
        <v>0</v>
      </c>
      <c r="N167" s="451">
        <v>0</v>
      </c>
      <c r="O167" s="188"/>
      <c r="P167" s="451">
        <v>0</v>
      </c>
      <c r="Q167" s="451">
        <v>0</v>
      </c>
      <c r="R167" s="451">
        <v>0</v>
      </c>
      <c r="S167" s="451">
        <v>0</v>
      </c>
      <c r="T167" s="451">
        <v>0</v>
      </c>
      <c r="U167" s="188"/>
      <c r="V167" s="451">
        <v>0</v>
      </c>
      <c r="W167" s="451">
        <v>0</v>
      </c>
      <c r="X167" s="451">
        <v>0</v>
      </c>
      <c r="Y167" s="451">
        <v>0</v>
      </c>
      <c r="Z167" s="451">
        <v>0</v>
      </c>
      <c r="AA167" s="188"/>
      <c r="AB167" s="451">
        <v>0</v>
      </c>
      <c r="AC167" s="451">
        <v>0</v>
      </c>
      <c r="AD167" s="451">
        <v>0</v>
      </c>
      <c r="AE167" s="451">
        <v>0</v>
      </c>
      <c r="AF167" s="451">
        <v>0</v>
      </c>
      <c r="AG167" s="188"/>
      <c r="AH167" s="451">
        <v>0</v>
      </c>
    </row>
    <row r="168" spans="1:34" x14ac:dyDescent="0.2">
      <c r="A168" s="476"/>
      <c r="B168" s="465"/>
      <c r="C168" s="475"/>
      <c r="D168" s="251"/>
      <c r="E168" s="451"/>
      <c r="F168" s="451"/>
      <c r="G168" s="451"/>
      <c r="H168" s="451"/>
      <c r="I168" s="188"/>
      <c r="J168" s="451"/>
      <c r="K168" s="451"/>
      <c r="L168" s="451"/>
      <c r="M168" s="451"/>
      <c r="N168" s="451"/>
      <c r="O168" s="188"/>
      <c r="P168" s="451"/>
      <c r="Q168" s="451"/>
      <c r="R168" s="451"/>
      <c r="S168" s="451"/>
      <c r="T168" s="451"/>
      <c r="U168" s="188"/>
      <c r="V168" s="451"/>
      <c r="W168" s="451"/>
      <c r="X168" s="451"/>
      <c r="Y168" s="451"/>
      <c r="Z168" s="451"/>
      <c r="AA168" s="188"/>
      <c r="AB168" s="451"/>
      <c r="AC168" s="451"/>
      <c r="AD168" s="451"/>
      <c r="AE168" s="451"/>
      <c r="AF168" s="451"/>
      <c r="AG168" s="188"/>
      <c r="AH168" s="451"/>
    </row>
    <row r="169" spans="1:34" x14ac:dyDescent="0.2">
      <c r="A169" s="476"/>
      <c r="B169" s="465"/>
      <c r="C169" s="475" t="s">
        <v>8</v>
      </c>
      <c r="D169" s="272" t="s">
        <v>78</v>
      </c>
      <c r="E169" s="451">
        <v>0</v>
      </c>
      <c r="F169" s="451">
        <v>0</v>
      </c>
      <c r="G169" s="451">
        <v>0</v>
      </c>
      <c r="H169" s="451">
        <v>0</v>
      </c>
      <c r="I169" s="188"/>
      <c r="J169" s="451">
        <v>0</v>
      </c>
      <c r="K169" s="451">
        <v>0</v>
      </c>
      <c r="L169" s="451">
        <v>0</v>
      </c>
      <c r="M169" s="451">
        <v>0</v>
      </c>
      <c r="N169" s="451">
        <v>0</v>
      </c>
      <c r="O169" s="188"/>
      <c r="P169" s="451">
        <v>0</v>
      </c>
      <c r="Q169" s="451">
        <v>0</v>
      </c>
      <c r="R169" s="451">
        <v>0</v>
      </c>
      <c r="S169" s="451">
        <v>0</v>
      </c>
      <c r="T169" s="451">
        <v>0</v>
      </c>
      <c r="U169" s="188"/>
      <c r="V169" s="451">
        <v>0</v>
      </c>
      <c r="W169" s="451">
        <v>0</v>
      </c>
      <c r="X169" s="451">
        <v>0</v>
      </c>
      <c r="Y169" s="451">
        <v>0</v>
      </c>
      <c r="Z169" s="451">
        <v>0</v>
      </c>
      <c r="AA169" s="188"/>
      <c r="AB169" s="451">
        <v>0</v>
      </c>
      <c r="AC169" s="451">
        <v>0</v>
      </c>
      <c r="AD169" s="451">
        <v>0</v>
      </c>
      <c r="AE169" s="451">
        <v>0</v>
      </c>
      <c r="AF169" s="451">
        <v>0</v>
      </c>
      <c r="AG169" s="188"/>
      <c r="AH169" s="451">
        <v>0</v>
      </c>
    </row>
    <row r="170" spans="1:34" x14ac:dyDescent="0.2">
      <c r="A170" s="476"/>
      <c r="B170" s="465"/>
      <c r="C170" s="475"/>
      <c r="D170" s="251"/>
      <c r="E170" s="451"/>
      <c r="F170" s="451"/>
      <c r="G170" s="451"/>
      <c r="H170" s="451"/>
      <c r="I170" s="188"/>
      <c r="J170" s="451"/>
      <c r="K170" s="451"/>
      <c r="L170" s="451"/>
      <c r="M170" s="451"/>
      <c r="N170" s="451"/>
      <c r="O170" s="188"/>
      <c r="P170" s="451"/>
      <c r="Q170" s="451"/>
      <c r="R170" s="451"/>
      <c r="S170" s="451"/>
      <c r="T170" s="451"/>
      <c r="U170" s="188"/>
      <c r="V170" s="451"/>
      <c r="W170" s="451"/>
      <c r="X170" s="451"/>
      <c r="Y170" s="451"/>
      <c r="Z170" s="451"/>
      <c r="AA170" s="188"/>
      <c r="AB170" s="451"/>
      <c r="AC170" s="451"/>
      <c r="AD170" s="451"/>
      <c r="AE170" s="451"/>
      <c r="AF170" s="451"/>
      <c r="AG170" s="188"/>
      <c r="AH170" s="451"/>
    </row>
    <row r="171" spans="1:34" x14ac:dyDescent="0.2">
      <c r="A171" s="449"/>
      <c r="B171" s="465" t="s">
        <v>88</v>
      </c>
      <c r="C171" s="475" t="s">
        <v>6</v>
      </c>
      <c r="D171" s="272" t="s">
        <v>78</v>
      </c>
      <c r="E171" s="451">
        <v>0</v>
      </c>
      <c r="F171" s="451">
        <v>0</v>
      </c>
      <c r="G171" s="451">
        <v>0</v>
      </c>
      <c r="H171" s="451">
        <v>0</v>
      </c>
      <c r="I171" s="188"/>
      <c r="J171" s="451">
        <v>0</v>
      </c>
      <c r="K171" s="451">
        <v>0</v>
      </c>
      <c r="L171" s="451">
        <v>0</v>
      </c>
      <c r="M171" s="451">
        <v>0</v>
      </c>
      <c r="N171" s="451">
        <v>0</v>
      </c>
      <c r="O171" s="188"/>
      <c r="P171" s="451">
        <v>0</v>
      </c>
      <c r="Q171" s="451">
        <v>0</v>
      </c>
      <c r="R171" s="451">
        <v>0</v>
      </c>
      <c r="S171" s="451">
        <v>0</v>
      </c>
      <c r="T171" s="451">
        <v>0</v>
      </c>
      <c r="U171" s="188"/>
      <c r="V171" s="451">
        <v>0</v>
      </c>
      <c r="W171" s="451">
        <v>0</v>
      </c>
      <c r="X171" s="451">
        <v>0</v>
      </c>
      <c r="Y171" s="451">
        <v>0</v>
      </c>
      <c r="Z171" s="451">
        <v>0</v>
      </c>
      <c r="AA171" s="188"/>
      <c r="AB171" s="451">
        <v>0</v>
      </c>
      <c r="AC171" s="451">
        <v>0</v>
      </c>
      <c r="AD171" s="451">
        <v>0</v>
      </c>
      <c r="AE171" s="451">
        <v>0</v>
      </c>
      <c r="AF171" s="451">
        <v>0</v>
      </c>
      <c r="AG171" s="188"/>
      <c r="AH171" s="451">
        <v>0</v>
      </c>
    </row>
    <row r="172" spans="1:34" x14ac:dyDescent="0.2">
      <c r="A172" s="449"/>
      <c r="B172" s="465"/>
      <c r="C172" s="475"/>
      <c r="D172" s="251"/>
      <c r="E172" s="451"/>
      <c r="F172" s="451"/>
      <c r="G172" s="451"/>
      <c r="H172" s="451"/>
      <c r="I172" s="188"/>
      <c r="J172" s="451"/>
      <c r="K172" s="451"/>
      <c r="L172" s="451"/>
      <c r="M172" s="451"/>
      <c r="N172" s="451"/>
      <c r="O172" s="188"/>
      <c r="P172" s="451"/>
      <c r="Q172" s="451"/>
      <c r="R172" s="451"/>
      <c r="S172" s="451"/>
      <c r="T172" s="451"/>
      <c r="U172" s="188"/>
      <c r="V172" s="451"/>
      <c r="W172" s="451"/>
      <c r="X172" s="451"/>
      <c r="Y172" s="451"/>
      <c r="Z172" s="451"/>
      <c r="AA172" s="188"/>
      <c r="AB172" s="451"/>
      <c r="AC172" s="451"/>
      <c r="AD172" s="451"/>
      <c r="AE172" s="451"/>
      <c r="AF172" s="451"/>
      <c r="AG172" s="188"/>
      <c r="AH172" s="451"/>
    </row>
    <row r="173" spans="1:34" x14ac:dyDescent="0.2">
      <c r="A173" s="449"/>
      <c r="B173" s="465"/>
      <c r="C173" s="475" t="s">
        <v>7</v>
      </c>
      <c r="D173" s="272" t="s">
        <v>78</v>
      </c>
      <c r="E173" s="451">
        <v>0</v>
      </c>
      <c r="F173" s="451">
        <v>0</v>
      </c>
      <c r="G173" s="451">
        <v>0</v>
      </c>
      <c r="H173" s="451">
        <v>0</v>
      </c>
      <c r="I173" s="188"/>
      <c r="J173" s="451">
        <v>0</v>
      </c>
      <c r="K173" s="451">
        <v>0</v>
      </c>
      <c r="L173" s="451">
        <v>0</v>
      </c>
      <c r="M173" s="451">
        <v>0</v>
      </c>
      <c r="N173" s="451">
        <v>0</v>
      </c>
      <c r="O173" s="188"/>
      <c r="P173" s="451">
        <v>0</v>
      </c>
      <c r="Q173" s="451">
        <v>0</v>
      </c>
      <c r="R173" s="451">
        <v>0</v>
      </c>
      <c r="S173" s="451">
        <v>0</v>
      </c>
      <c r="T173" s="451">
        <v>0</v>
      </c>
      <c r="U173" s="188"/>
      <c r="V173" s="451">
        <v>0</v>
      </c>
      <c r="W173" s="451">
        <v>0</v>
      </c>
      <c r="X173" s="451">
        <v>0</v>
      </c>
      <c r="Y173" s="451">
        <v>0</v>
      </c>
      <c r="Z173" s="451">
        <v>0</v>
      </c>
      <c r="AA173" s="188"/>
      <c r="AB173" s="451">
        <v>0</v>
      </c>
      <c r="AC173" s="451">
        <v>0</v>
      </c>
      <c r="AD173" s="451">
        <v>0</v>
      </c>
      <c r="AE173" s="451">
        <v>0</v>
      </c>
      <c r="AF173" s="451">
        <v>0</v>
      </c>
      <c r="AG173" s="188"/>
      <c r="AH173" s="451">
        <v>0</v>
      </c>
    </row>
    <row r="174" spans="1:34" x14ac:dyDescent="0.2">
      <c r="A174" s="449"/>
      <c r="B174" s="465"/>
      <c r="C174" s="475"/>
      <c r="D174" s="251"/>
      <c r="E174" s="451"/>
      <c r="F174" s="451"/>
      <c r="G174" s="451"/>
      <c r="H174" s="451"/>
      <c r="I174" s="188"/>
      <c r="J174" s="451"/>
      <c r="K174" s="451"/>
      <c r="L174" s="451"/>
      <c r="M174" s="451"/>
      <c r="N174" s="451"/>
      <c r="O174" s="188"/>
      <c r="P174" s="451"/>
      <c r="Q174" s="451"/>
      <c r="R174" s="451"/>
      <c r="S174" s="451"/>
      <c r="T174" s="451"/>
      <c r="U174" s="188"/>
      <c r="V174" s="451"/>
      <c r="W174" s="451"/>
      <c r="X174" s="451"/>
      <c r="Y174" s="451"/>
      <c r="Z174" s="451"/>
      <c r="AA174" s="188"/>
      <c r="AB174" s="451"/>
      <c r="AC174" s="451"/>
      <c r="AD174" s="451"/>
      <c r="AE174" s="451"/>
      <c r="AF174" s="451"/>
      <c r="AG174" s="188"/>
      <c r="AH174" s="451"/>
    </row>
    <row r="175" spans="1:34" x14ac:dyDescent="0.2">
      <c r="A175" s="449"/>
      <c r="B175" s="465"/>
      <c r="C175" s="475" t="s">
        <v>8</v>
      </c>
      <c r="D175" s="272" t="s">
        <v>78</v>
      </c>
      <c r="E175" s="451">
        <v>0</v>
      </c>
      <c r="F175" s="451">
        <v>0</v>
      </c>
      <c r="G175" s="451">
        <v>0</v>
      </c>
      <c r="H175" s="451">
        <v>0</v>
      </c>
      <c r="I175" s="188"/>
      <c r="J175" s="451">
        <v>0</v>
      </c>
      <c r="K175" s="451">
        <v>0</v>
      </c>
      <c r="L175" s="451">
        <v>0</v>
      </c>
      <c r="M175" s="451">
        <v>0</v>
      </c>
      <c r="N175" s="451">
        <v>0</v>
      </c>
      <c r="O175" s="188"/>
      <c r="P175" s="451">
        <v>0</v>
      </c>
      <c r="Q175" s="451">
        <v>0</v>
      </c>
      <c r="R175" s="451">
        <v>0</v>
      </c>
      <c r="S175" s="451">
        <v>0</v>
      </c>
      <c r="T175" s="451">
        <v>0</v>
      </c>
      <c r="U175" s="188"/>
      <c r="V175" s="451">
        <v>0</v>
      </c>
      <c r="W175" s="451">
        <v>0</v>
      </c>
      <c r="X175" s="451">
        <v>0</v>
      </c>
      <c r="Y175" s="451">
        <v>0</v>
      </c>
      <c r="Z175" s="451">
        <v>0</v>
      </c>
      <c r="AA175" s="188"/>
      <c r="AB175" s="451">
        <v>0</v>
      </c>
      <c r="AC175" s="451">
        <v>0</v>
      </c>
      <c r="AD175" s="451">
        <v>0</v>
      </c>
      <c r="AE175" s="451">
        <v>0</v>
      </c>
      <c r="AF175" s="451">
        <v>0</v>
      </c>
      <c r="AG175" s="188"/>
      <c r="AH175" s="451">
        <v>0</v>
      </c>
    </row>
    <row r="176" spans="1:34" x14ac:dyDescent="0.2">
      <c r="A176" s="449"/>
      <c r="B176" s="465"/>
      <c r="C176" s="475"/>
      <c r="D176" s="251"/>
      <c r="E176" s="451"/>
      <c r="F176" s="451"/>
      <c r="G176" s="451"/>
      <c r="H176" s="451"/>
      <c r="I176" s="188"/>
      <c r="J176" s="451"/>
      <c r="K176" s="451"/>
      <c r="L176" s="451"/>
      <c r="M176" s="451"/>
      <c r="N176" s="451"/>
      <c r="O176" s="188"/>
      <c r="P176" s="451"/>
      <c r="Q176" s="451"/>
      <c r="R176" s="451"/>
      <c r="S176" s="451"/>
      <c r="T176" s="451"/>
      <c r="U176" s="188"/>
      <c r="V176" s="451"/>
      <c r="W176" s="451"/>
      <c r="X176" s="451"/>
      <c r="Y176" s="451"/>
      <c r="Z176" s="451"/>
      <c r="AA176" s="188"/>
      <c r="AB176" s="451"/>
      <c r="AC176" s="451"/>
      <c r="AD176" s="451"/>
      <c r="AE176" s="451"/>
      <c r="AF176" s="451"/>
      <c r="AG176" s="188"/>
      <c r="AH176" s="451"/>
    </row>
    <row r="177" spans="1:34" x14ac:dyDescent="0.2">
      <c r="A177" s="449"/>
      <c r="B177" s="465" t="s">
        <v>141</v>
      </c>
      <c r="C177" s="475" t="s">
        <v>6</v>
      </c>
      <c r="D177" s="272" t="s">
        <v>78</v>
      </c>
      <c r="E177" s="451">
        <v>0</v>
      </c>
      <c r="F177" s="451">
        <v>0</v>
      </c>
      <c r="G177" s="451">
        <v>0</v>
      </c>
      <c r="H177" s="451">
        <v>0</v>
      </c>
      <c r="I177" s="188"/>
      <c r="J177" s="451">
        <v>0</v>
      </c>
      <c r="K177" s="451">
        <v>0</v>
      </c>
      <c r="L177" s="451">
        <v>0</v>
      </c>
      <c r="M177" s="451">
        <v>0</v>
      </c>
      <c r="N177" s="451">
        <v>0</v>
      </c>
      <c r="O177" s="188"/>
      <c r="P177" s="451">
        <v>0</v>
      </c>
      <c r="Q177" s="451">
        <v>0</v>
      </c>
      <c r="R177" s="451">
        <v>0</v>
      </c>
      <c r="S177" s="451">
        <v>0</v>
      </c>
      <c r="T177" s="451">
        <v>0</v>
      </c>
      <c r="U177" s="188"/>
      <c r="V177" s="451">
        <v>0</v>
      </c>
      <c r="W177" s="451">
        <v>0</v>
      </c>
      <c r="X177" s="451">
        <v>0</v>
      </c>
      <c r="Y177" s="451">
        <v>0</v>
      </c>
      <c r="Z177" s="451">
        <v>0</v>
      </c>
      <c r="AA177" s="188"/>
      <c r="AB177" s="451">
        <v>0</v>
      </c>
      <c r="AC177" s="451">
        <v>0</v>
      </c>
      <c r="AD177" s="451">
        <v>0</v>
      </c>
      <c r="AE177" s="451">
        <v>0</v>
      </c>
      <c r="AF177" s="451">
        <v>0</v>
      </c>
      <c r="AG177" s="188"/>
      <c r="AH177" s="451">
        <v>0</v>
      </c>
    </row>
    <row r="178" spans="1:34" x14ac:dyDescent="0.2">
      <c r="A178" s="449"/>
      <c r="B178" s="465"/>
      <c r="C178" s="475"/>
      <c r="D178" s="251"/>
      <c r="E178" s="451"/>
      <c r="F178" s="451"/>
      <c r="G178" s="451"/>
      <c r="H178" s="451"/>
      <c r="I178" s="188"/>
      <c r="J178" s="451"/>
      <c r="K178" s="451"/>
      <c r="L178" s="451"/>
      <c r="M178" s="451"/>
      <c r="N178" s="451"/>
      <c r="O178" s="188"/>
      <c r="P178" s="451"/>
      <c r="Q178" s="451"/>
      <c r="R178" s="451"/>
      <c r="S178" s="451"/>
      <c r="T178" s="451"/>
      <c r="U178" s="188"/>
      <c r="V178" s="451"/>
      <c r="W178" s="451"/>
      <c r="X178" s="451"/>
      <c r="Y178" s="451"/>
      <c r="Z178" s="451"/>
      <c r="AA178" s="188"/>
      <c r="AB178" s="451"/>
      <c r="AC178" s="451"/>
      <c r="AD178" s="451"/>
      <c r="AE178" s="451"/>
      <c r="AF178" s="451"/>
      <c r="AG178" s="188"/>
      <c r="AH178" s="451"/>
    </row>
    <row r="179" spans="1:34" x14ac:dyDescent="0.2">
      <c r="A179" s="449"/>
      <c r="B179" s="465"/>
      <c r="C179" s="475" t="s">
        <v>7</v>
      </c>
      <c r="D179" s="272" t="s">
        <v>78</v>
      </c>
      <c r="E179" s="451">
        <v>0</v>
      </c>
      <c r="F179" s="451">
        <v>0</v>
      </c>
      <c r="G179" s="451">
        <v>0</v>
      </c>
      <c r="H179" s="451">
        <v>0</v>
      </c>
      <c r="I179" s="188"/>
      <c r="J179" s="451">
        <v>0</v>
      </c>
      <c r="K179" s="451">
        <v>0</v>
      </c>
      <c r="L179" s="451">
        <v>0</v>
      </c>
      <c r="M179" s="451">
        <v>0</v>
      </c>
      <c r="N179" s="451">
        <v>0</v>
      </c>
      <c r="O179" s="188"/>
      <c r="P179" s="451">
        <v>0</v>
      </c>
      <c r="Q179" s="451">
        <v>0</v>
      </c>
      <c r="R179" s="451">
        <v>0</v>
      </c>
      <c r="S179" s="451">
        <v>0</v>
      </c>
      <c r="T179" s="451">
        <v>0</v>
      </c>
      <c r="U179" s="188"/>
      <c r="V179" s="451">
        <v>0</v>
      </c>
      <c r="W179" s="451">
        <v>0</v>
      </c>
      <c r="X179" s="451">
        <v>0</v>
      </c>
      <c r="Y179" s="451">
        <v>0</v>
      </c>
      <c r="Z179" s="451">
        <v>0</v>
      </c>
      <c r="AA179" s="188"/>
      <c r="AB179" s="451">
        <v>0</v>
      </c>
      <c r="AC179" s="451">
        <v>0</v>
      </c>
      <c r="AD179" s="451">
        <v>0</v>
      </c>
      <c r="AE179" s="451">
        <v>0</v>
      </c>
      <c r="AF179" s="451">
        <v>0</v>
      </c>
      <c r="AG179" s="188"/>
      <c r="AH179" s="451">
        <v>0</v>
      </c>
    </row>
    <row r="180" spans="1:34" x14ac:dyDescent="0.2">
      <c r="A180" s="449"/>
      <c r="B180" s="465"/>
      <c r="C180" s="475"/>
      <c r="D180" s="251"/>
      <c r="E180" s="451"/>
      <c r="F180" s="451"/>
      <c r="G180" s="451"/>
      <c r="H180" s="451"/>
      <c r="I180" s="188"/>
      <c r="J180" s="451"/>
      <c r="K180" s="451"/>
      <c r="L180" s="451"/>
      <c r="M180" s="451"/>
      <c r="N180" s="451"/>
      <c r="O180" s="188"/>
      <c r="P180" s="451"/>
      <c r="Q180" s="451"/>
      <c r="R180" s="451"/>
      <c r="S180" s="451"/>
      <c r="T180" s="451"/>
      <c r="U180" s="188"/>
      <c r="V180" s="451"/>
      <c r="W180" s="451"/>
      <c r="X180" s="451"/>
      <c r="Y180" s="451"/>
      <c r="Z180" s="451"/>
      <c r="AA180" s="188"/>
      <c r="AB180" s="451"/>
      <c r="AC180" s="451"/>
      <c r="AD180" s="451"/>
      <c r="AE180" s="451"/>
      <c r="AF180" s="451"/>
      <c r="AG180" s="188"/>
      <c r="AH180" s="451"/>
    </row>
    <row r="181" spans="1:34" x14ac:dyDescent="0.2">
      <c r="A181" s="449"/>
      <c r="B181" s="465"/>
      <c r="C181" s="475" t="s">
        <v>8</v>
      </c>
      <c r="D181" s="272" t="s">
        <v>78</v>
      </c>
      <c r="E181" s="451">
        <v>0</v>
      </c>
      <c r="F181" s="451">
        <v>0</v>
      </c>
      <c r="G181" s="451">
        <v>0</v>
      </c>
      <c r="H181" s="451">
        <v>0</v>
      </c>
      <c r="I181" s="188"/>
      <c r="J181" s="451">
        <v>0</v>
      </c>
      <c r="K181" s="451">
        <v>0</v>
      </c>
      <c r="L181" s="451">
        <v>0</v>
      </c>
      <c r="M181" s="451">
        <v>0</v>
      </c>
      <c r="N181" s="451">
        <v>0</v>
      </c>
      <c r="O181" s="188"/>
      <c r="P181" s="451">
        <v>0</v>
      </c>
      <c r="Q181" s="451">
        <v>0</v>
      </c>
      <c r="R181" s="451">
        <v>0</v>
      </c>
      <c r="S181" s="451">
        <v>0</v>
      </c>
      <c r="T181" s="451">
        <v>0</v>
      </c>
      <c r="U181" s="188"/>
      <c r="V181" s="451">
        <v>0</v>
      </c>
      <c r="W181" s="451">
        <v>0</v>
      </c>
      <c r="X181" s="451">
        <v>0</v>
      </c>
      <c r="Y181" s="451">
        <v>0</v>
      </c>
      <c r="Z181" s="451">
        <v>0</v>
      </c>
      <c r="AA181" s="188"/>
      <c r="AB181" s="451">
        <v>0</v>
      </c>
      <c r="AC181" s="451">
        <v>0</v>
      </c>
      <c r="AD181" s="451">
        <v>0</v>
      </c>
      <c r="AE181" s="451">
        <v>0</v>
      </c>
      <c r="AF181" s="451">
        <v>0</v>
      </c>
      <c r="AG181" s="188"/>
      <c r="AH181" s="451">
        <v>0</v>
      </c>
    </row>
    <row r="182" spans="1:34" x14ac:dyDescent="0.2">
      <c r="A182" s="449"/>
      <c r="B182" s="465"/>
      <c r="C182" s="475"/>
      <c r="D182" s="251"/>
      <c r="E182" s="451"/>
      <c r="F182" s="451"/>
      <c r="G182" s="451"/>
      <c r="H182" s="451"/>
      <c r="I182" s="188"/>
      <c r="J182" s="451"/>
      <c r="K182" s="451"/>
      <c r="L182" s="451"/>
      <c r="M182" s="451"/>
      <c r="N182" s="451"/>
      <c r="O182" s="188"/>
      <c r="P182" s="451"/>
      <c r="Q182" s="451"/>
      <c r="R182" s="451"/>
      <c r="S182" s="451"/>
      <c r="T182" s="451"/>
      <c r="U182" s="188"/>
      <c r="V182" s="451"/>
      <c r="W182" s="451"/>
      <c r="X182" s="451"/>
      <c r="Y182" s="451"/>
      <c r="Z182" s="451"/>
      <c r="AA182" s="188"/>
      <c r="AB182" s="451"/>
      <c r="AC182" s="451"/>
      <c r="AD182" s="451"/>
      <c r="AE182" s="451"/>
      <c r="AF182" s="451"/>
      <c r="AG182" s="188"/>
      <c r="AH182" s="451"/>
    </row>
    <row r="183" spans="1:34" x14ac:dyDescent="0.2">
      <c r="A183" s="449"/>
      <c r="B183" s="465" t="s">
        <v>89</v>
      </c>
      <c r="C183" s="475" t="s">
        <v>6</v>
      </c>
      <c r="D183" s="272" t="s">
        <v>78</v>
      </c>
      <c r="E183" s="454">
        <v>1E-3</v>
      </c>
      <c r="F183" s="454">
        <v>1E-3</v>
      </c>
      <c r="G183" s="454">
        <v>1E-3</v>
      </c>
      <c r="H183" s="454">
        <v>1E-3</v>
      </c>
      <c r="I183" s="188"/>
      <c r="J183" s="454">
        <v>1E-3</v>
      </c>
      <c r="K183" s="454">
        <v>1E-3</v>
      </c>
      <c r="L183" s="454">
        <v>1E-3</v>
      </c>
      <c r="M183" s="454">
        <v>1E-3</v>
      </c>
      <c r="N183" s="454">
        <v>1E-3</v>
      </c>
      <c r="O183" s="188"/>
      <c r="P183" s="454">
        <v>1E-3</v>
      </c>
      <c r="Q183" s="454">
        <v>1E-3</v>
      </c>
      <c r="R183" s="454">
        <v>1E-3</v>
      </c>
      <c r="S183" s="454">
        <v>1E-3</v>
      </c>
      <c r="T183" s="454">
        <v>1E-3</v>
      </c>
      <c r="U183" s="188"/>
      <c r="V183" s="454">
        <v>1E-3</v>
      </c>
      <c r="W183" s="454">
        <v>1E-3</v>
      </c>
      <c r="X183" s="454">
        <v>1E-3</v>
      </c>
      <c r="Y183" s="454">
        <v>1E-3</v>
      </c>
      <c r="Z183" s="454">
        <v>1E-3</v>
      </c>
      <c r="AA183" s="188"/>
      <c r="AB183" s="454">
        <v>1E-3</v>
      </c>
      <c r="AC183" s="454">
        <v>1E-3</v>
      </c>
      <c r="AD183" s="454">
        <v>1E-3</v>
      </c>
      <c r="AE183" s="454">
        <v>1E-3</v>
      </c>
      <c r="AF183" s="454">
        <v>1E-3</v>
      </c>
      <c r="AG183" s="188"/>
      <c r="AH183" s="454">
        <v>1E-3</v>
      </c>
    </row>
    <row r="184" spans="1:34" x14ac:dyDescent="0.2">
      <c r="A184" s="449"/>
      <c r="B184" s="465"/>
      <c r="C184" s="475"/>
      <c r="D184" s="251"/>
      <c r="E184" s="454"/>
      <c r="F184" s="454"/>
      <c r="G184" s="454"/>
      <c r="H184" s="454"/>
      <c r="I184" s="188"/>
      <c r="J184" s="454"/>
      <c r="K184" s="454"/>
      <c r="L184" s="454"/>
      <c r="M184" s="454"/>
      <c r="N184" s="454"/>
      <c r="O184" s="188"/>
      <c r="P184" s="454"/>
      <c r="Q184" s="454"/>
      <c r="R184" s="454"/>
      <c r="S184" s="454"/>
      <c r="T184" s="454"/>
      <c r="U184" s="188"/>
      <c r="V184" s="454"/>
      <c r="W184" s="454"/>
      <c r="X184" s="454"/>
      <c r="Y184" s="454"/>
      <c r="Z184" s="454"/>
      <c r="AA184" s="188"/>
      <c r="AB184" s="454"/>
      <c r="AC184" s="454"/>
      <c r="AD184" s="454"/>
      <c r="AE184" s="454"/>
      <c r="AF184" s="454"/>
      <c r="AG184" s="188"/>
      <c r="AH184" s="454"/>
    </row>
    <row r="185" spans="1:34" x14ac:dyDescent="0.2">
      <c r="A185" s="449"/>
      <c r="B185" s="465"/>
      <c r="C185" s="475" t="s">
        <v>7</v>
      </c>
      <c r="D185" s="272" t="s">
        <v>78</v>
      </c>
      <c r="E185" s="451">
        <v>0.01</v>
      </c>
      <c r="F185" s="451">
        <v>0.01</v>
      </c>
      <c r="G185" s="451">
        <v>0.01</v>
      </c>
      <c r="H185" s="451">
        <v>0.01</v>
      </c>
      <c r="I185" s="188"/>
      <c r="J185" s="451">
        <v>0.01</v>
      </c>
      <c r="K185" s="451">
        <v>0.01</v>
      </c>
      <c r="L185" s="451">
        <v>0.01</v>
      </c>
      <c r="M185" s="451">
        <v>0.01</v>
      </c>
      <c r="N185" s="451">
        <v>0.01</v>
      </c>
      <c r="O185" s="188"/>
      <c r="P185" s="451">
        <v>0.01</v>
      </c>
      <c r="Q185" s="451">
        <v>0.01</v>
      </c>
      <c r="R185" s="451">
        <v>0.01</v>
      </c>
      <c r="S185" s="451">
        <v>0.01</v>
      </c>
      <c r="T185" s="451">
        <v>0.01</v>
      </c>
      <c r="U185" s="188"/>
      <c r="V185" s="451">
        <v>0.01</v>
      </c>
      <c r="W185" s="451">
        <v>0.01</v>
      </c>
      <c r="X185" s="451">
        <v>0.01</v>
      </c>
      <c r="Y185" s="451">
        <v>0.01</v>
      </c>
      <c r="Z185" s="451">
        <v>0.01</v>
      </c>
      <c r="AA185" s="188"/>
      <c r="AB185" s="451">
        <v>0.01</v>
      </c>
      <c r="AC185" s="451">
        <v>0.01</v>
      </c>
      <c r="AD185" s="451">
        <v>0.01</v>
      </c>
      <c r="AE185" s="451">
        <v>0.01</v>
      </c>
      <c r="AF185" s="451">
        <v>0.01</v>
      </c>
      <c r="AG185" s="188"/>
      <c r="AH185" s="451">
        <v>0.01</v>
      </c>
    </row>
    <row r="186" spans="1:34" x14ac:dyDescent="0.2">
      <c r="A186" s="449"/>
      <c r="B186" s="465"/>
      <c r="C186" s="475"/>
      <c r="D186" s="251"/>
      <c r="E186" s="451"/>
      <c r="F186" s="451"/>
      <c r="G186" s="451"/>
      <c r="H186" s="451"/>
      <c r="I186" s="188"/>
      <c r="J186" s="451"/>
      <c r="K186" s="451"/>
      <c r="L186" s="451"/>
      <c r="M186" s="451"/>
      <c r="N186" s="451"/>
      <c r="O186" s="188"/>
      <c r="P186" s="451"/>
      <c r="Q186" s="451"/>
      <c r="R186" s="451"/>
      <c r="S186" s="451"/>
      <c r="T186" s="451"/>
      <c r="U186" s="188"/>
      <c r="V186" s="451"/>
      <c r="W186" s="451"/>
      <c r="X186" s="451"/>
      <c r="Y186" s="451"/>
      <c r="Z186" s="451"/>
      <c r="AA186" s="188"/>
      <c r="AB186" s="451"/>
      <c r="AC186" s="451"/>
      <c r="AD186" s="451"/>
      <c r="AE186" s="451"/>
      <c r="AF186" s="451"/>
      <c r="AG186" s="188"/>
      <c r="AH186" s="451"/>
    </row>
    <row r="187" spans="1:34" x14ac:dyDescent="0.2">
      <c r="A187" s="449"/>
      <c r="B187" s="465"/>
      <c r="C187" s="475" t="s">
        <v>8</v>
      </c>
      <c r="D187" s="272" t="s">
        <v>78</v>
      </c>
      <c r="E187" s="451">
        <v>0.01</v>
      </c>
      <c r="F187" s="451">
        <v>0.01</v>
      </c>
      <c r="G187" s="451">
        <v>0.01</v>
      </c>
      <c r="H187" s="451">
        <v>0.01</v>
      </c>
      <c r="I187" s="188"/>
      <c r="J187" s="451">
        <v>0.01</v>
      </c>
      <c r="K187" s="451">
        <v>0.01</v>
      </c>
      <c r="L187" s="451">
        <v>0.01</v>
      </c>
      <c r="M187" s="451">
        <v>0.01</v>
      </c>
      <c r="N187" s="451">
        <v>0.01</v>
      </c>
      <c r="O187" s="188"/>
      <c r="P187" s="451">
        <v>0.01</v>
      </c>
      <c r="Q187" s="451">
        <v>0.01</v>
      </c>
      <c r="R187" s="451">
        <v>0.01</v>
      </c>
      <c r="S187" s="451">
        <v>0.01</v>
      </c>
      <c r="T187" s="451">
        <v>0.01</v>
      </c>
      <c r="U187" s="188"/>
      <c r="V187" s="451">
        <v>0.01</v>
      </c>
      <c r="W187" s="451">
        <v>0.01</v>
      </c>
      <c r="X187" s="451">
        <v>0.01</v>
      </c>
      <c r="Y187" s="451">
        <v>0.01</v>
      </c>
      <c r="Z187" s="451">
        <v>0.01</v>
      </c>
      <c r="AA187" s="188"/>
      <c r="AB187" s="451">
        <v>0.01</v>
      </c>
      <c r="AC187" s="451">
        <v>0.01</v>
      </c>
      <c r="AD187" s="451">
        <v>0.01</v>
      </c>
      <c r="AE187" s="451">
        <v>0.01</v>
      </c>
      <c r="AF187" s="451">
        <v>0.01</v>
      </c>
      <c r="AG187" s="188"/>
      <c r="AH187" s="451">
        <v>0.01</v>
      </c>
    </row>
    <row r="188" spans="1:34" x14ac:dyDescent="0.2">
      <c r="A188" s="449"/>
      <c r="B188" s="465"/>
      <c r="C188" s="475"/>
      <c r="D188" s="251"/>
      <c r="E188" s="451"/>
      <c r="F188" s="451"/>
      <c r="G188" s="451"/>
      <c r="H188" s="451"/>
      <c r="I188" s="188"/>
      <c r="J188" s="451"/>
      <c r="K188" s="451"/>
      <c r="L188" s="451"/>
      <c r="M188" s="451"/>
      <c r="N188" s="451"/>
      <c r="O188" s="188"/>
      <c r="P188" s="451"/>
      <c r="Q188" s="451"/>
      <c r="R188" s="451"/>
      <c r="S188" s="451"/>
      <c r="T188" s="451"/>
      <c r="U188" s="188"/>
      <c r="V188" s="451"/>
      <c r="W188" s="451"/>
      <c r="X188" s="451"/>
      <c r="Y188" s="451"/>
      <c r="Z188" s="451"/>
      <c r="AA188" s="188"/>
      <c r="AB188" s="451"/>
      <c r="AC188" s="451"/>
      <c r="AD188" s="451"/>
      <c r="AE188" s="451"/>
      <c r="AF188" s="451"/>
      <c r="AG188" s="188"/>
      <c r="AH188" s="451"/>
    </row>
    <row r="189" spans="1:34" ht="14.4" x14ac:dyDescent="0.3">
      <c r="A189" s="176">
        <v>1.7</v>
      </c>
      <c r="B189" s="457" t="s">
        <v>28</v>
      </c>
      <c r="C189" s="458"/>
      <c r="D189" s="276"/>
      <c r="E189" s="276"/>
      <c r="F189" s="276"/>
      <c r="G189" s="276"/>
      <c r="H189" s="276"/>
      <c r="I189" s="276"/>
      <c r="J189" s="276"/>
      <c r="K189" s="276"/>
      <c r="L189" s="276"/>
      <c r="M189" s="276"/>
      <c r="N189" s="276"/>
      <c r="O189" s="276"/>
      <c r="P189" s="276"/>
      <c r="Q189" s="276"/>
      <c r="R189" s="276"/>
      <c r="S189" s="276"/>
      <c r="T189" s="276"/>
      <c r="U189" s="276"/>
      <c r="V189" s="276"/>
      <c r="W189" s="276"/>
      <c r="X189" s="276"/>
      <c r="Y189" s="276"/>
      <c r="Z189" s="276"/>
      <c r="AA189" s="276"/>
      <c r="AB189" s="276"/>
      <c r="AC189" s="276"/>
      <c r="AD189" s="276"/>
      <c r="AE189" s="276"/>
      <c r="AF189" s="276"/>
      <c r="AG189" s="276"/>
      <c r="AH189" s="277"/>
    </row>
    <row r="190" spans="1:34" x14ac:dyDescent="0.2">
      <c r="A190" s="469"/>
      <c r="B190" s="465" t="s">
        <v>90</v>
      </c>
      <c r="C190" s="465"/>
      <c r="D190" s="272" t="s">
        <v>78</v>
      </c>
      <c r="E190" s="451">
        <v>0.2</v>
      </c>
      <c r="F190" s="451">
        <v>0.2</v>
      </c>
      <c r="G190" s="451">
        <v>0.2</v>
      </c>
      <c r="H190" s="451">
        <v>0.2</v>
      </c>
      <c r="I190" s="188"/>
      <c r="J190" s="451">
        <v>0.2</v>
      </c>
      <c r="K190" s="451">
        <v>0.2</v>
      </c>
      <c r="L190" s="451">
        <v>0.2</v>
      </c>
      <c r="M190" s="451">
        <v>0.2</v>
      </c>
      <c r="N190" s="451">
        <v>0.2</v>
      </c>
      <c r="O190" s="188"/>
      <c r="P190" s="451">
        <v>0.2</v>
      </c>
      <c r="Q190" s="451">
        <v>0.2</v>
      </c>
      <c r="R190" s="451">
        <v>0.2</v>
      </c>
      <c r="S190" s="451">
        <v>0.2</v>
      </c>
      <c r="T190" s="451">
        <v>0.2</v>
      </c>
      <c r="U190" s="188"/>
      <c r="V190" s="451">
        <v>0.2</v>
      </c>
      <c r="W190" s="451">
        <v>0.2</v>
      </c>
      <c r="X190" s="451">
        <v>0.2</v>
      </c>
      <c r="Y190" s="451">
        <v>0.2</v>
      </c>
      <c r="Z190" s="451">
        <v>0.2</v>
      </c>
      <c r="AA190" s="188"/>
      <c r="AB190" s="451">
        <v>0.2</v>
      </c>
      <c r="AC190" s="451">
        <v>0.2</v>
      </c>
      <c r="AD190" s="451">
        <v>0.2</v>
      </c>
      <c r="AE190" s="451">
        <v>0.2</v>
      </c>
      <c r="AF190" s="451">
        <v>0.2</v>
      </c>
      <c r="AG190" s="188"/>
      <c r="AH190" s="451">
        <v>0.2</v>
      </c>
    </row>
    <row r="191" spans="1:34" x14ac:dyDescent="0.2">
      <c r="A191" s="469"/>
      <c r="B191" s="465"/>
      <c r="C191" s="465"/>
      <c r="D191" s="251"/>
      <c r="E191" s="451"/>
      <c r="F191" s="451"/>
      <c r="G191" s="451"/>
      <c r="H191" s="451"/>
      <c r="I191" s="188"/>
      <c r="J191" s="451"/>
      <c r="K191" s="451"/>
      <c r="L191" s="451"/>
      <c r="M191" s="451"/>
      <c r="N191" s="451"/>
      <c r="O191" s="188"/>
      <c r="P191" s="451"/>
      <c r="Q191" s="451"/>
      <c r="R191" s="451"/>
      <c r="S191" s="451"/>
      <c r="T191" s="451"/>
      <c r="U191" s="188"/>
      <c r="V191" s="451"/>
      <c r="W191" s="451"/>
      <c r="X191" s="451"/>
      <c r="Y191" s="451"/>
      <c r="Z191" s="451"/>
      <c r="AA191" s="188"/>
      <c r="AB191" s="451"/>
      <c r="AC191" s="451"/>
      <c r="AD191" s="451"/>
      <c r="AE191" s="451"/>
      <c r="AF191" s="451"/>
      <c r="AG191" s="188"/>
      <c r="AH191" s="451"/>
    </row>
    <row r="192" spans="1:34" x14ac:dyDescent="0.2">
      <c r="A192" s="469"/>
      <c r="B192" s="465" t="s">
        <v>91</v>
      </c>
      <c r="C192" s="465"/>
      <c r="D192" s="272" t="s">
        <v>78</v>
      </c>
      <c r="E192" s="451">
        <v>1</v>
      </c>
      <c r="F192" s="451">
        <v>1</v>
      </c>
      <c r="G192" s="451">
        <v>1</v>
      </c>
      <c r="H192" s="451">
        <v>1</v>
      </c>
      <c r="I192" s="188"/>
      <c r="J192" s="451">
        <v>1</v>
      </c>
      <c r="K192" s="451">
        <v>1</v>
      </c>
      <c r="L192" s="451">
        <v>1</v>
      </c>
      <c r="M192" s="451">
        <v>1</v>
      </c>
      <c r="N192" s="451">
        <v>1</v>
      </c>
      <c r="O192" s="188"/>
      <c r="P192" s="451">
        <v>1</v>
      </c>
      <c r="Q192" s="451">
        <v>1</v>
      </c>
      <c r="R192" s="451">
        <v>1</v>
      </c>
      <c r="S192" s="451">
        <v>1</v>
      </c>
      <c r="T192" s="451">
        <v>1</v>
      </c>
      <c r="U192" s="188"/>
      <c r="V192" s="451">
        <v>1</v>
      </c>
      <c r="W192" s="451">
        <v>1</v>
      </c>
      <c r="X192" s="451">
        <v>1</v>
      </c>
      <c r="Y192" s="451">
        <v>1</v>
      </c>
      <c r="Z192" s="451">
        <v>1</v>
      </c>
      <c r="AA192" s="188"/>
      <c r="AB192" s="451">
        <v>1</v>
      </c>
      <c r="AC192" s="451">
        <v>1</v>
      </c>
      <c r="AD192" s="451">
        <v>1</v>
      </c>
      <c r="AE192" s="451">
        <v>1</v>
      </c>
      <c r="AF192" s="451">
        <v>1</v>
      </c>
      <c r="AG192" s="188"/>
      <c r="AH192" s="451">
        <v>1</v>
      </c>
    </row>
    <row r="193" spans="1:34" x14ac:dyDescent="0.2">
      <c r="A193" s="469"/>
      <c r="B193" s="465"/>
      <c r="C193" s="465"/>
      <c r="D193" s="251"/>
      <c r="E193" s="451"/>
      <c r="F193" s="451"/>
      <c r="G193" s="451"/>
      <c r="H193" s="451"/>
      <c r="I193" s="188"/>
      <c r="J193" s="451"/>
      <c r="K193" s="451"/>
      <c r="L193" s="451"/>
      <c r="M193" s="451"/>
      <c r="N193" s="451"/>
      <c r="O193" s="188"/>
      <c r="P193" s="451"/>
      <c r="Q193" s="451"/>
      <c r="R193" s="451"/>
      <c r="S193" s="451"/>
      <c r="T193" s="451"/>
      <c r="U193" s="188"/>
      <c r="V193" s="451"/>
      <c r="W193" s="451"/>
      <c r="X193" s="451"/>
      <c r="Y193" s="451"/>
      <c r="Z193" s="451"/>
      <c r="AA193" s="188"/>
      <c r="AB193" s="451"/>
      <c r="AC193" s="451"/>
      <c r="AD193" s="451"/>
      <c r="AE193" s="451"/>
      <c r="AF193" s="451"/>
      <c r="AG193" s="188"/>
      <c r="AH193" s="451"/>
    </row>
    <row r="194" spans="1:34" x14ac:dyDescent="0.2">
      <c r="A194" s="195">
        <v>2</v>
      </c>
      <c r="B194" s="463" t="s">
        <v>29</v>
      </c>
      <c r="C194" s="463"/>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x14ac:dyDescent="0.2">
      <c r="A195" s="195">
        <v>2.1</v>
      </c>
      <c r="B195" s="463" t="s">
        <v>30</v>
      </c>
      <c r="C195" s="463"/>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42.6" customHeight="1" x14ac:dyDescent="0.2">
      <c r="A196" s="469"/>
      <c r="B196" s="468" t="s">
        <v>142</v>
      </c>
      <c r="C196" s="468"/>
      <c r="D196" s="273" t="s">
        <v>78</v>
      </c>
      <c r="E196" s="454">
        <v>0.2</v>
      </c>
      <c r="F196" s="454">
        <v>0.2</v>
      </c>
      <c r="G196" s="454">
        <v>0.2</v>
      </c>
      <c r="H196" s="454">
        <v>0.2</v>
      </c>
      <c r="I196" s="197"/>
      <c r="J196" s="454">
        <v>0.2</v>
      </c>
      <c r="K196" s="454">
        <v>0.18</v>
      </c>
      <c r="L196" s="454">
        <v>0.18</v>
      </c>
      <c r="M196" s="454">
        <v>0.18</v>
      </c>
      <c r="N196" s="454">
        <v>0.18</v>
      </c>
      <c r="O196" s="197"/>
      <c r="P196" s="454">
        <v>0.18</v>
      </c>
      <c r="Q196" s="454">
        <v>0.14000000000000001</v>
      </c>
      <c r="R196" s="454">
        <v>0.14000000000000001</v>
      </c>
      <c r="S196" s="454">
        <v>0.14000000000000001</v>
      </c>
      <c r="T196" s="454">
        <v>0.14000000000000001</v>
      </c>
      <c r="U196" s="197"/>
      <c r="V196" s="454">
        <v>0.14000000000000001</v>
      </c>
      <c r="W196" s="454">
        <v>0.1</v>
      </c>
      <c r="X196" s="454">
        <v>0.1</v>
      </c>
      <c r="Y196" s="454">
        <v>0.1</v>
      </c>
      <c r="Z196" s="454">
        <v>0.1</v>
      </c>
      <c r="AA196" s="197"/>
      <c r="AB196" s="454">
        <v>0.1</v>
      </c>
      <c r="AC196" s="454">
        <v>0.06</v>
      </c>
      <c r="AD196" s="454">
        <v>0.06</v>
      </c>
      <c r="AE196" s="454">
        <v>0.06</v>
      </c>
      <c r="AF196" s="454">
        <v>0.06</v>
      </c>
      <c r="AG196" s="185"/>
      <c r="AH196" s="454">
        <v>0.06</v>
      </c>
    </row>
    <row r="197" spans="1:34" ht="24.6" customHeight="1" x14ac:dyDescent="0.2">
      <c r="A197" s="469"/>
      <c r="B197" s="468"/>
      <c r="C197" s="468"/>
      <c r="D197" s="273"/>
      <c r="E197" s="454"/>
      <c r="F197" s="454"/>
      <c r="G197" s="454"/>
      <c r="H197" s="454"/>
      <c r="I197" s="197"/>
      <c r="J197" s="454"/>
      <c r="K197" s="454">
        <v>0.56999999999999995</v>
      </c>
      <c r="L197" s="454">
        <v>0.56999999999999995</v>
      </c>
      <c r="M197" s="454">
        <v>0.56999999999999995</v>
      </c>
      <c r="N197" s="454">
        <v>0.56999999999999995</v>
      </c>
      <c r="O197" s="197"/>
      <c r="P197" s="454">
        <v>0.56999999999999995</v>
      </c>
      <c r="Q197" s="454">
        <v>0.56999999999999995</v>
      </c>
      <c r="R197" s="454">
        <v>0.56999999999999995</v>
      </c>
      <c r="S197" s="454">
        <v>0.56999999999999995</v>
      </c>
      <c r="T197" s="454">
        <v>0.56999999999999995</v>
      </c>
      <c r="U197" s="197"/>
      <c r="V197" s="454">
        <v>0.56999999999999995</v>
      </c>
      <c r="W197" s="454">
        <v>0.56999999999999995</v>
      </c>
      <c r="X197" s="454">
        <v>0.56999999999999995</v>
      </c>
      <c r="Y197" s="454">
        <v>0.56999999999999995</v>
      </c>
      <c r="Z197" s="454">
        <v>0.56999999999999995</v>
      </c>
      <c r="AA197" s="197"/>
      <c r="AB197" s="454">
        <v>0.56999999999999995</v>
      </c>
      <c r="AC197" s="454">
        <v>0.56999999999999995</v>
      </c>
      <c r="AD197" s="454">
        <v>0.56999999999999995</v>
      </c>
      <c r="AE197" s="454">
        <v>0.56999999999999995</v>
      </c>
      <c r="AF197" s="454">
        <v>0.56999999999999995</v>
      </c>
      <c r="AG197" s="185"/>
      <c r="AH197" s="454">
        <v>0.56999999999999995</v>
      </c>
    </row>
    <row r="198" spans="1:34" x14ac:dyDescent="0.2">
      <c r="A198" s="469"/>
      <c r="B198" s="474" t="s">
        <v>146</v>
      </c>
      <c r="C198" s="474"/>
      <c r="D198" s="273" t="s">
        <v>78</v>
      </c>
      <c r="E198" s="451">
        <v>1</v>
      </c>
      <c r="F198" s="451">
        <v>1</v>
      </c>
      <c r="G198" s="451">
        <v>1</v>
      </c>
      <c r="H198" s="451">
        <v>1</v>
      </c>
      <c r="I198" s="179"/>
      <c r="J198" s="451">
        <v>1</v>
      </c>
      <c r="K198" s="451">
        <v>1</v>
      </c>
      <c r="L198" s="451">
        <v>1</v>
      </c>
      <c r="M198" s="451">
        <v>1</v>
      </c>
      <c r="N198" s="451">
        <v>1</v>
      </c>
      <c r="O198" s="179"/>
      <c r="P198" s="451">
        <v>1</v>
      </c>
      <c r="Q198" s="451">
        <v>1</v>
      </c>
      <c r="R198" s="451">
        <v>1</v>
      </c>
      <c r="S198" s="451">
        <v>1</v>
      </c>
      <c r="T198" s="451">
        <v>1</v>
      </c>
      <c r="U198" s="179"/>
      <c r="V198" s="451">
        <v>1</v>
      </c>
      <c r="W198" s="451">
        <f>(1.202+25.617)/(1.202+25.617+0.522+2.128)</f>
        <v>0.91007499406155623</v>
      </c>
      <c r="X198" s="451">
        <f>(1.202+25.617)/(1.202+25.617+0.522+2.128)</f>
        <v>0.91007499406155623</v>
      </c>
      <c r="Y198" s="451">
        <f>(1.202+25.617)/(1.202+25.617+0.522+2.128)</f>
        <v>0.91007499406155623</v>
      </c>
      <c r="Z198" s="451">
        <f>(1.202+25.617)/(1.202+25.617+0.522+2.128)</f>
        <v>0.91007499406155623</v>
      </c>
      <c r="AA198" s="179"/>
      <c r="AB198" s="451">
        <f>(1.202+25.617)/(1.202+25.617+0.522+2.128)</f>
        <v>0.91007499406155623</v>
      </c>
      <c r="AC198" s="451">
        <v>1</v>
      </c>
      <c r="AD198" s="451">
        <v>1</v>
      </c>
      <c r="AE198" s="451">
        <v>1</v>
      </c>
      <c r="AF198" s="451">
        <v>1</v>
      </c>
      <c r="AG198" s="179"/>
      <c r="AH198" s="451">
        <v>1</v>
      </c>
    </row>
    <row r="199" spans="1:34" x14ac:dyDescent="0.2">
      <c r="A199" s="469"/>
      <c r="B199" s="474"/>
      <c r="C199" s="474"/>
      <c r="D199" s="273"/>
      <c r="E199" s="451"/>
      <c r="F199" s="451"/>
      <c r="G199" s="451"/>
      <c r="H199" s="451"/>
      <c r="I199" s="179"/>
      <c r="J199" s="451"/>
      <c r="K199" s="451"/>
      <c r="L199" s="451"/>
      <c r="M199" s="451"/>
      <c r="N199" s="451"/>
      <c r="O199" s="179"/>
      <c r="P199" s="451"/>
      <c r="Q199" s="451"/>
      <c r="R199" s="451"/>
      <c r="S199" s="451"/>
      <c r="T199" s="451"/>
      <c r="U199" s="179"/>
      <c r="V199" s="451"/>
      <c r="W199" s="451"/>
      <c r="X199" s="451"/>
      <c r="Y199" s="451"/>
      <c r="Z199" s="451"/>
      <c r="AA199" s="179"/>
      <c r="AB199" s="451"/>
      <c r="AC199" s="451"/>
      <c r="AD199" s="451"/>
      <c r="AE199" s="451"/>
      <c r="AF199" s="451"/>
      <c r="AG199" s="179"/>
      <c r="AH199" s="451"/>
    </row>
    <row r="200" spans="1:34" x14ac:dyDescent="0.2">
      <c r="A200" s="469"/>
      <c r="B200" s="474" t="s">
        <v>147</v>
      </c>
      <c r="C200" s="474"/>
      <c r="D200" s="25" t="s">
        <v>100</v>
      </c>
      <c r="E200" s="453">
        <v>0.2</v>
      </c>
      <c r="F200" s="453">
        <v>0.2</v>
      </c>
      <c r="G200" s="453">
        <v>0.2</v>
      </c>
      <c r="H200" s="453">
        <v>0.2</v>
      </c>
      <c r="I200" s="188"/>
      <c r="J200" s="453">
        <v>0.2</v>
      </c>
      <c r="K200" s="453">
        <v>0.2</v>
      </c>
      <c r="L200" s="453">
        <v>0.2</v>
      </c>
      <c r="M200" s="453">
        <v>0.2</v>
      </c>
      <c r="N200" s="453">
        <v>0.2</v>
      </c>
      <c r="O200" s="188"/>
      <c r="P200" s="453">
        <v>0.2</v>
      </c>
      <c r="Q200" s="453">
        <v>0.2</v>
      </c>
      <c r="R200" s="453">
        <v>0.2</v>
      </c>
      <c r="S200" s="453">
        <v>0.2</v>
      </c>
      <c r="T200" s="453">
        <v>0.2</v>
      </c>
      <c r="U200" s="188"/>
      <c r="V200" s="453">
        <v>0.2</v>
      </c>
      <c r="W200" s="453">
        <v>0.2</v>
      </c>
      <c r="X200" s="453">
        <v>0.2</v>
      </c>
      <c r="Y200" s="453">
        <v>0.2</v>
      </c>
      <c r="Z200" s="453">
        <v>0.2</v>
      </c>
      <c r="AA200" s="188"/>
      <c r="AB200" s="453">
        <v>0.2</v>
      </c>
      <c r="AC200" s="453">
        <v>0.2</v>
      </c>
      <c r="AD200" s="453">
        <v>0.2</v>
      </c>
      <c r="AE200" s="453">
        <v>0.2</v>
      </c>
      <c r="AF200" s="453">
        <v>0.2</v>
      </c>
      <c r="AG200" s="188"/>
      <c r="AH200" s="453">
        <v>0.2</v>
      </c>
    </row>
    <row r="201" spans="1:34" x14ac:dyDescent="0.2">
      <c r="A201" s="469"/>
      <c r="B201" s="474"/>
      <c r="C201" s="474"/>
      <c r="D201" s="46" t="s">
        <v>31</v>
      </c>
      <c r="E201" s="251"/>
      <c r="F201" s="251"/>
      <c r="G201" s="251"/>
      <c r="H201" s="251"/>
      <c r="I201" s="188"/>
      <c r="J201" s="251"/>
      <c r="K201" s="251"/>
      <c r="L201" s="251"/>
      <c r="M201" s="251"/>
      <c r="N201" s="251"/>
      <c r="O201" s="188"/>
      <c r="P201" s="251"/>
      <c r="Q201" s="251"/>
      <c r="R201" s="251"/>
      <c r="S201" s="251"/>
      <c r="T201" s="251"/>
      <c r="U201" s="188"/>
      <c r="V201" s="251"/>
      <c r="W201" s="251"/>
      <c r="X201" s="251"/>
      <c r="Y201" s="251"/>
      <c r="Z201" s="251"/>
      <c r="AA201" s="188"/>
      <c r="AB201" s="251"/>
      <c r="AC201" s="251"/>
      <c r="AD201" s="251"/>
      <c r="AE201" s="251"/>
      <c r="AF201" s="251"/>
      <c r="AG201" s="188"/>
      <c r="AH201" s="251"/>
    </row>
    <row r="202" spans="1:34" x14ac:dyDescent="0.2">
      <c r="A202" s="469"/>
      <c r="B202" s="465" t="s">
        <v>42</v>
      </c>
      <c r="C202" s="465" t="s">
        <v>26</v>
      </c>
      <c r="D202" s="273" t="s">
        <v>78</v>
      </c>
      <c r="E202" s="452">
        <v>1</v>
      </c>
      <c r="F202" s="452">
        <v>1</v>
      </c>
      <c r="G202" s="452">
        <v>1</v>
      </c>
      <c r="H202" s="452">
        <v>1</v>
      </c>
      <c r="I202" s="188"/>
      <c r="J202" s="452">
        <v>1</v>
      </c>
      <c r="K202" s="452">
        <v>1</v>
      </c>
      <c r="L202" s="452">
        <v>1</v>
      </c>
      <c r="M202" s="452">
        <v>1</v>
      </c>
      <c r="N202" s="452">
        <v>1</v>
      </c>
      <c r="O202" s="188"/>
      <c r="P202" s="452">
        <v>1</v>
      </c>
      <c r="Q202" s="452">
        <v>1</v>
      </c>
      <c r="R202" s="452">
        <v>1</v>
      </c>
      <c r="S202" s="452">
        <v>1</v>
      </c>
      <c r="T202" s="452">
        <v>1</v>
      </c>
      <c r="U202" s="188"/>
      <c r="V202" s="452">
        <v>1</v>
      </c>
      <c r="W202" s="452">
        <v>1</v>
      </c>
      <c r="X202" s="452">
        <v>1</v>
      </c>
      <c r="Y202" s="452">
        <v>1</v>
      </c>
      <c r="Z202" s="452">
        <v>1</v>
      </c>
      <c r="AA202" s="188"/>
      <c r="AB202" s="452">
        <v>1</v>
      </c>
      <c r="AC202" s="452">
        <v>1</v>
      </c>
      <c r="AD202" s="452">
        <v>1</v>
      </c>
      <c r="AE202" s="452">
        <v>1</v>
      </c>
      <c r="AF202" s="452">
        <v>1</v>
      </c>
      <c r="AG202" s="188"/>
      <c r="AH202" s="452">
        <v>1</v>
      </c>
    </row>
    <row r="203" spans="1:34" x14ac:dyDescent="0.2">
      <c r="A203" s="469"/>
      <c r="B203" s="465"/>
      <c r="C203" s="465"/>
      <c r="D203" s="273"/>
      <c r="E203" s="452"/>
      <c r="F203" s="452"/>
      <c r="G203" s="452"/>
      <c r="H203" s="452"/>
      <c r="I203" s="188"/>
      <c r="J203" s="452"/>
      <c r="K203" s="452"/>
      <c r="L203" s="452"/>
      <c r="M203" s="452"/>
      <c r="N203" s="452"/>
      <c r="O203" s="188"/>
      <c r="P203" s="452"/>
      <c r="Q203" s="452"/>
      <c r="R203" s="452"/>
      <c r="S203" s="452"/>
      <c r="T203" s="452"/>
      <c r="U203" s="188"/>
      <c r="V203" s="452"/>
      <c r="W203" s="452"/>
      <c r="X203" s="452"/>
      <c r="Y203" s="452"/>
      <c r="Z203" s="452"/>
      <c r="AA203" s="188"/>
      <c r="AB203" s="452"/>
      <c r="AC203" s="452"/>
      <c r="AD203" s="452"/>
      <c r="AE203" s="452"/>
      <c r="AF203" s="452"/>
      <c r="AG203" s="188"/>
      <c r="AH203" s="452"/>
    </row>
    <row r="204" spans="1:34" x14ac:dyDescent="0.2">
      <c r="A204" s="469"/>
      <c r="B204" s="465"/>
      <c r="C204" s="465" t="s">
        <v>7</v>
      </c>
      <c r="D204" s="273" t="s">
        <v>78</v>
      </c>
      <c r="E204" s="452">
        <v>1</v>
      </c>
      <c r="F204" s="452">
        <v>1</v>
      </c>
      <c r="G204" s="452">
        <v>1</v>
      </c>
      <c r="H204" s="452">
        <v>1</v>
      </c>
      <c r="I204" s="188"/>
      <c r="J204" s="452">
        <v>1</v>
      </c>
      <c r="K204" s="452">
        <v>1</v>
      </c>
      <c r="L204" s="452">
        <v>1</v>
      </c>
      <c r="M204" s="452">
        <v>1</v>
      </c>
      <c r="N204" s="452">
        <v>1</v>
      </c>
      <c r="O204" s="188"/>
      <c r="P204" s="452">
        <v>1</v>
      </c>
      <c r="Q204" s="452">
        <v>1</v>
      </c>
      <c r="R204" s="452">
        <v>1</v>
      </c>
      <c r="S204" s="452">
        <v>1</v>
      </c>
      <c r="T204" s="452">
        <v>1</v>
      </c>
      <c r="U204" s="188"/>
      <c r="V204" s="452">
        <v>1</v>
      </c>
      <c r="W204" s="452">
        <v>1</v>
      </c>
      <c r="X204" s="452">
        <v>1</v>
      </c>
      <c r="Y204" s="452">
        <v>1</v>
      </c>
      <c r="Z204" s="452">
        <v>1</v>
      </c>
      <c r="AA204" s="188"/>
      <c r="AB204" s="452">
        <v>1</v>
      </c>
      <c r="AC204" s="452">
        <v>1</v>
      </c>
      <c r="AD204" s="452">
        <v>1</v>
      </c>
      <c r="AE204" s="452">
        <v>1</v>
      </c>
      <c r="AF204" s="452">
        <v>1</v>
      </c>
      <c r="AG204" s="188"/>
      <c r="AH204" s="452">
        <v>1</v>
      </c>
    </row>
    <row r="205" spans="1:34" x14ac:dyDescent="0.2">
      <c r="A205" s="469"/>
      <c r="B205" s="465"/>
      <c r="C205" s="465"/>
      <c r="D205" s="273"/>
      <c r="E205" s="452"/>
      <c r="F205" s="452"/>
      <c r="G205" s="452"/>
      <c r="H205" s="452"/>
      <c r="I205" s="188"/>
      <c r="J205" s="452"/>
      <c r="K205" s="452"/>
      <c r="L205" s="452"/>
      <c r="M205" s="452"/>
      <c r="N205" s="452"/>
      <c r="O205" s="188"/>
      <c r="P205" s="452"/>
      <c r="Q205" s="452"/>
      <c r="R205" s="452"/>
      <c r="S205" s="452"/>
      <c r="T205" s="452"/>
      <c r="U205" s="188"/>
      <c r="V205" s="452"/>
      <c r="W205" s="452"/>
      <c r="X205" s="452"/>
      <c r="Y205" s="452"/>
      <c r="Z205" s="452"/>
      <c r="AA205" s="188"/>
      <c r="AB205" s="452"/>
      <c r="AC205" s="452"/>
      <c r="AD205" s="452"/>
      <c r="AE205" s="452"/>
      <c r="AF205" s="452"/>
      <c r="AG205" s="188"/>
      <c r="AH205" s="452"/>
    </row>
    <row r="206" spans="1:34" x14ac:dyDescent="0.2">
      <c r="A206" s="469"/>
      <c r="B206" s="465"/>
      <c r="C206" s="465" t="s">
        <v>8</v>
      </c>
      <c r="D206" s="273" t="s">
        <v>78</v>
      </c>
      <c r="E206" s="452">
        <v>1</v>
      </c>
      <c r="F206" s="452">
        <v>1</v>
      </c>
      <c r="G206" s="452">
        <v>1</v>
      </c>
      <c r="H206" s="452">
        <v>1</v>
      </c>
      <c r="I206" s="188"/>
      <c r="J206" s="452">
        <v>1</v>
      </c>
      <c r="K206" s="452">
        <v>1</v>
      </c>
      <c r="L206" s="452">
        <v>1</v>
      </c>
      <c r="M206" s="452">
        <v>1</v>
      </c>
      <c r="N206" s="452">
        <v>1</v>
      </c>
      <c r="O206" s="188"/>
      <c r="P206" s="452">
        <v>1</v>
      </c>
      <c r="Q206" s="452">
        <v>1</v>
      </c>
      <c r="R206" s="452">
        <v>1</v>
      </c>
      <c r="S206" s="452">
        <v>1</v>
      </c>
      <c r="T206" s="452">
        <v>1</v>
      </c>
      <c r="U206" s="188"/>
      <c r="V206" s="452">
        <v>1</v>
      </c>
      <c r="W206" s="452">
        <v>1</v>
      </c>
      <c r="X206" s="452">
        <v>1</v>
      </c>
      <c r="Y206" s="452">
        <v>1</v>
      </c>
      <c r="Z206" s="452">
        <v>1</v>
      </c>
      <c r="AA206" s="188"/>
      <c r="AB206" s="452">
        <v>1</v>
      </c>
      <c r="AC206" s="452">
        <v>1</v>
      </c>
      <c r="AD206" s="452">
        <v>1</v>
      </c>
      <c r="AE206" s="452">
        <v>1</v>
      </c>
      <c r="AF206" s="452">
        <v>1</v>
      </c>
      <c r="AG206" s="188"/>
      <c r="AH206" s="452">
        <v>1</v>
      </c>
    </row>
    <row r="207" spans="1:34" x14ac:dyDescent="0.2">
      <c r="A207" s="469"/>
      <c r="B207" s="465"/>
      <c r="C207" s="465"/>
      <c r="D207" s="273"/>
      <c r="E207" s="452"/>
      <c r="F207" s="452"/>
      <c r="G207" s="452"/>
      <c r="H207" s="452"/>
      <c r="I207" s="188"/>
      <c r="J207" s="452"/>
      <c r="K207" s="452"/>
      <c r="L207" s="452"/>
      <c r="M207" s="452"/>
      <c r="N207" s="452"/>
      <c r="O207" s="188"/>
      <c r="P207" s="452"/>
      <c r="Q207" s="452"/>
      <c r="R207" s="452"/>
      <c r="S207" s="452"/>
      <c r="T207" s="452"/>
      <c r="U207" s="188"/>
      <c r="V207" s="452"/>
      <c r="W207" s="452"/>
      <c r="X207" s="452"/>
      <c r="Y207" s="452"/>
      <c r="Z207" s="452"/>
      <c r="AA207" s="188"/>
      <c r="AB207" s="452"/>
      <c r="AC207" s="452"/>
      <c r="AD207" s="452"/>
      <c r="AE207" s="452"/>
      <c r="AF207" s="452"/>
      <c r="AG207" s="188"/>
      <c r="AH207" s="452"/>
    </row>
    <row r="208" spans="1:34" x14ac:dyDescent="0.2">
      <c r="A208" s="469"/>
      <c r="B208" s="468" t="s">
        <v>130</v>
      </c>
      <c r="C208" s="468"/>
      <c r="D208" s="273" t="s">
        <v>78</v>
      </c>
      <c r="E208" s="452">
        <f>25.617/23.506</f>
        <v>1.0898068578235345</v>
      </c>
      <c r="F208" s="452">
        <f>25.617/23.506</f>
        <v>1.0898068578235345</v>
      </c>
      <c r="G208" s="452">
        <f>25.617/23.506</f>
        <v>1.0898068578235345</v>
      </c>
      <c r="H208" s="452">
        <f>25.617/23.506</f>
        <v>1.0898068578235345</v>
      </c>
      <c r="I208" s="179"/>
      <c r="J208" s="452">
        <f>25.617/23.506</f>
        <v>1.0898068578235345</v>
      </c>
      <c r="K208" s="452">
        <f>25.617/23.506</f>
        <v>1.0898068578235345</v>
      </c>
      <c r="L208" s="452">
        <f>25.617/23.506</f>
        <v>1.0898068578235345</v>
      </c>
      <c r="M208" s="452">
        <f>25.617/23.506</f>
        <v>1.0898068578235345</v>
      </c>
      <c r="N208" s="452">
        <f>25.617/23.506</f>
        <v>1.0898068578235345</v>
      </c>
      <c r="O208" s="179"/>
      <c r="P208" s="452">
        <f>25.617/23.506</f>
        <v>1.0898068578235345</v>
      </c>
      <c r="Q208" s="452">
        <f>25.617/23.506</f>
        <v>1.0898068578235345</v>
      </c>
      <c r="R208" s="452">
        <f>25.617/23.506</f>
        <v>1.0898068578235345</v>
      </c>
      <c r="S208" s="452">
        <f>25.617/23.506</f>
        <v>1.0898068578235345</v>
      </c>
      <c r="T208" s="452">
        <f>25.617/23.506</f>
        <v>1.0898068578235345</v>
      </c>
      <c r="U208" s="179"/>
      <c r="V208" s="452">
        <f>25.617/23.506</f>
        <v>1.0898068578235345</v>
      </c>
      <c r="W208" s="452">
        <f>(25.617+2.188)/23.506</f>
        <v>1.1828894750276524</v>
      </c>
      <c r="X208" s="452">
        <f>(25.617+2.188)/23.506</f>
        <v>1.1828894750276524</v>
      </c>
      <c r="Y208" s="452">
        <f>(25.617+2.188)/23.506</f>
        <v>1.1828894750276524</v>
      </c>
      <c r="Z208" s="452">
        <f>(25.617+2.188)/23.506</f>
        <v>1.1828894750276524</v>
      </c>
      <c r="AA208" s="179"/>
      <c r="AB208" s="452">
        <f>(25.617+2.188)/23.506</f>
        <v>1.1828894750276524</v>
      </c>
      <c r="AC208" s="452">
        <v>1.18</v>
      </c>
      <c r="AD208" s="452">
        <v>1.18</v>
      </c>
      <c r="AE208" s="452">
        <v>1.18</v>
      </c>
      <c r="AF208" s="452">
        <v>1.18</v>
      </c>
      <c r="AG208" s="179"/>
      <c r="AH208" s="452">
        <v>1.18</v>
      </c>
    </row>
    <row r="209" spans="1:34" x14ac:dyDescent="0.2">
      <c r="A209" s="469"/>
      <c r="B209" s="468"/>
      <c r="C209" s="468"/>
      <c r="D209" s="273"/>
      <c r="E209" s="452"/>
      <c r="F209" s="452"/>
      <c r="G209" s="452"/>
      <c r="H209" s="452"/>
      <c r="I209" s="179"/>
      <c r="J209" s="452"/>
      <c r="K209" s="452"/>
      <c r="L209" s="452"/>
      <c r="M209" s="452"/>
      <c r="N209" s="452"/>
      <c r="O209" s="179"/>
      <c r="P209" s="452"/>
      <c r="Q209" s="452"/>
      <c r="R209" s="452"/>
      <c r="S209" s="452"/>
      <c r="T209" s="452"/>
      <c r="U209" s="179"/>
      <c r="V209" s="452"/>
      <c r="W209" s="452"/>
      <c r="X209" s="452"/>
      <c r="Y209" s="452"/>
      <c r="Z209" s="452"/>
      <c r="AA209" s="179"/>
      <c r="AB209" s="452"/>
      <c r="AC209" s="452"/>
      <c r="AD209" s="452"/>
      <c r="AE209" s="452"/>
      <c r="AF209" s="452"/>
      <c r="AG209" s="179"/>
      <c r="AH209" s="452"/>
    </row>
    <row r="210" spans="1:34" x14ac:dyDescent="0.2">
      <c r="A210" s="469"/>
      <c r="B210" s="465" t="s">
        <v>131</v>
      </c>
      <c r="C210" s="465"/>
      <c r="D210" s="273" t="s">
        <v>78</v>
      </c>
      <c r="E210" s="473">
        <f>3838/3890</f>
        <v>0.98663239074550124</v>
      </c>
      <c r="F210" s="473">
        <f>3838/3890</f>
        <v>0.98663239074550124</v>
      </c>
      <c r="G210" s="473">
        <f>3838/3890</f>
        <v>0.98663239074550124</v>
      </c>
      <c r="H210" s="473">
        <f>3838/3890</f>
        <v>0.98663239074550124</v>
      </c>
      <c r="I210" s="179"/>
      <c r="J210" s="473">
        <f>3838/3890</f>
        <v>0.98663239074550124</v>
      </c>
      <c r="K210" s="452">
        <v>1</v>
      </c>
      <c r="L210" s="452">
        <v>1</v>
      </c>
      <c r="M210" s="452">
        <v>1</v>
      </c>
      <c r="N210" s="452">
        <v>1</v>
      </c>
      <c r="O210" s="179"/>
      <c r="P210" s="452">
        <v>1</v>
      </c>
      <c r="Q210" s="452">
        <v>1</v>
      </c>
      <c r="R210" s="452">
        <v>1</v>
      </c>
      <c r="S210" s="452">
        <v>1</v>
      </c>
      <c r="T210" s="452">
        <v>1</v>
      </c>
      <c r="U210" s="179"/>
      <c r="V210" s="452">
        <v>1</v>
      </c>
      <c r="W210" s="452">
        <v>1</v>
      </c>
      <c r="X210" s="452">
        <v>1</v>
      </c>
      <c r="Y210" s="452">
        <v>1</v>
      </c>
      <c r="Z210" s="452">
        <v>1</v>
      </c>
      <c r="AA210" s="179"/>
      <c r="AB210" s="452">
        <v>1</v>
      </c>
      <c r="AC210" s="452">
        <v>1</v>
      </c>
      <c r="AD210" s="452">
        <v>1</v>
      </c>
      <c r="AE210" s="452">
        <v>1</v>
      </c>
      <c r="AF210" s="452">
        <v>1</v>
      </c>
      <c r="AG210" s="179"/>
      <c r="AH210" s="452">
        <v>1</v>
      </c>
    </row>
    <row r="211" spans="1:34" x14ac:dyDescent="0.2">
      <c r="A211" s="469"/>
      <c r="B211" s="465"/>
      <c r="C211" s="465"/>
      <c r="D211" s="273"/>
      <c r="E211" s="473"/>
      <c r="F211" s="473"/>
      <c r="G211" s="473"/>
      <c r="H211" s="473"/>
      <c r="I211" s="179"/>
      <c r="J211" s="473"/>
      <c r="K211" s="452"/>
      <c r="L211" s="452"/>
      <c r="M211" s="452"/>
      <c r="N211" s="452"/>
      <c r="O211" s="179"/>
      <c r="P211" s="452"/>
      <c r="Q211" s="452"/>
      <c r="R211" s="452"/>
      <c r="S211" s="452"/>
      <c r="T211" s="452"/>
      <c r="U211" s="179"/>
      <c r="V211" s="452"/>
      <c r="W211" s="452"/>
      <c r="X211" s="452"/>
      <c r="Y211" s="452"/>
      <c r="Z211" s="452"/>
      <c r="AA211" s="179"/>
      <c r="AB211" s="452"/>
      <c r="AC211" s="452"/>
      <c r="AD211" s="452"/>
      <c r="AE211" s="452"/>
      <c r="AF211" s="452"/>
      <c r="AG211" s="179"/>
      <c r="AH211" s="452"/>
    </row>
    <row r="212" spans="1:34" ht="14.4" x14ac:dyDescent="0.3">
      <c r="A212" s="176">
        <v>2.2000000000000002</v>
      </c>
      <c r="B212" s="455" t="s">
        <v>33</v>
      </c>
      <c r="C212" s="456"/>
      <c r="D212" s="276"/>
      <c r="E212" s="276"/>
      <c r="F212" s="276"/>
      <c r="G212" s="276"/>
      <c r="H212" s="276"/>
      <c r="I212" s="276"/>
      <c r="J212" s="276"/>
      <c r="K212" s="276"/>
      <c r="L212" s="276"/>
      <c r="M212" s="276"/>
      <c r="N212" s="276"/>
      <c r="O212" s="276"/>
      <c r="P212" s="276"/>
      <c r="Q212" s="276"/>
      <c r="R212" s="276"/>
      <c r="S212" s="276"/>
      <c r="T212" s="276"/>
      <c r="U212" s="276"/>
      <c r="V212" s="276"/>
      <c r="W212" s="276"/>
      <c r="X212" s="276"/>
      <c r="Y212" s="276"/>
      <c r="Z212" s="276"/>
      <c r="AA212" s="276"/>
      <c r="AB212" s="276"/>
      <c r="AC212" s="276"/>
      <c r="AD212" s="276"/>
      <c r="AE212" s="276"/>
      <c r="AF212" s="276"/>
      <c r="AG212" s="276"/>
      <c r="AH212" s="277"/>
    </row>
    <row r="213" spans="1:34" x14ac:dyDescent="0.2">
      <c r="A213" s="469"/>
      <c r="B213" s="465" t="s">
        <v>43</v>
      </c>
      <c r="C213" s="465"/>
      <c r="D213" s="273" t="s">
        <v>78</v>
      </c>
      <c r="E213" s="452">
        <v>0</v>
      </c>
      <c r="F213" s="452">
        <v>0</v>
      </c>
      <c r="G213" s="452">
        <v>0</v>
      </c>
      <c r="H213" s="452">
        <v>0</v>
      </c>
      <c r="I213" s="179"/>
      <c r="J213" s="452">
        <v>0</v>
      </c>
      <c r="K213" s="452">
        <v>0</v>
      </c>
      <c r="L213" s="452">
        <v>0</v>
      </c>
      <c r="M213" s="452">
        <v>0</v>
      </c>
      <c r="N213" s="452">
        <f>14.45/23.56</f>
        <v>0.61332767402376909</v>
      </c>
      <c r="O213" s="472"/>
      <c r="P213" s="452">
        <f>14.45/23.56</f>
        <v>0.61332767402376909</v>
      </c>
      <c r="Q213" s="452">
        <f>14.45/23.56</f>
        <v>0.61332767402376909</v>
      </c>
      <c r="R213" s="452">
        <f>14.45/23.56</f>
        <v>0.61332767402376909</v>
      </c>
      <c r="S213" s="452">
        <f>14.45/23.56</f>
        <v>0.61332767402376909</v>
      </c>
      <c r="T213" s="452">
        <f>14.45/23.56</f>
        <v>0.61332767402376909</v>
      </c>
      <c r="U213" s="179"/>
      <c r="V213" s="452">
        <f>(14.45+14.447)/23.56</f>
        <v>1.2265280135823429</v>
      </c>
      <c r="W213" s="452">
        <f>(14.45+14.447)/23.56</f>
        <v>1.2265280135823429</v>
      </c>
      <c r="X213" s="452">
        <f>(14.45+14.447)/23.56</f>
        <v>1.2265280135823429</v>
      </c>
      <c r="Y213" s="452">
        <f>(14.45+14.447)/23.56</f>
        <v>1.2265280135823429</v>
      </c>
      <c r="Z213" s="452">
        <f>(14.45+14.447)/23.56</f>
        <v>1.2265280135823429</v>
      </c>
      <c r="AA213" s="179"/>
      <c r="AB213" s="452">
        <f>(14.45+14.447)/23.56</f>
        <v>1.2265280135823429</v>
      </c>
      <c r="AC213" s="452">
        <f>(14.45+14.447)/23.56</f>
        <v>1.2265280135823429</v>
      </c>
      <c r="AD213" s="452">
        <f>(14.45+14.447)/23.56</f>
        <v>1.2265280135823429</v>
      </c>
      <c r="AE213" s="452">
        <f>(14.45+14.447)/23.56</f>
        <v>1.2265280135823429</v>
      </c>
      <c r="AF213" s="452">
        <f>(14.45+14.447)/23.56</f>
        <v>1.2265280135823429</v>
      </c>
      <c r="AG213" s="179"/>
      <c r="AH213" s="452">
        <f>(14.45+14.447)/23.56</f>
        <v>1.2265280135823429</v>
      </c>
    </row>
    <row r="214" spans="1:34" ht="36.6" customHeight="1" x14ac:dyDescent="0.2">
      <c r="A214" s="469"/>
      <c r="B214" s="465"/>
      <c r="C214" s="465"/>
      <c r="D214" s="273"/>
      <c r="E214" s="452"/>
      <c r="F214" s="452"/>
      <c r="G214" s="452"/>
      <c r="H214" s="452"/>
      <c r="I214" s="179"/>
      <c r="J214" s="452"/>
      <c r="K214" s="452"/>
      <c r="L214" s="452"/>
      <c r="M214" s="452"/>
      <c r="N214" s="452"/>
      <c r="O214" s="256"/>
      <c r="P214" s="452"/>
      <c r="Q214" s="452"/>
      <c r="R214" s="452"/>
      <c r="S214" s="452"/>
      <c r="T214" s="452"/>
      <c r="U214" s="179"/>
      <c r="V214" s="452"/>
      <c r="W214" s="452"/>
      <c r="X214" s="452"/>
      <c r="Y214" s="452"/>
      <c r="Z214" s="452"/>
      <c r="AA214" s="179"/>
      <c r="AB214" s="452"/>
      <c r="AC214" s="452"/>
      <c r="AD214" s="452"/>
      <c r="AE214" s="452"/>
      <c r="AF214" s="452"/>
      <c r="AG214" s="179"/>
      <c r="AH214" s="452"/>
    </row>
    <row r="215" spans="1:34" x14ac:dyDescent="0.2">
      <c r="A215" s="469"/>
      <c r="B215" s="465" t="s">
        <v>44</v>
      </c>
      <c r="C215" s="465"/>
      <c r="D215" s="273" t="s">
        <v>78</v>
      </c>
      <c r="E215" s="452">
        <v>0</v>
      </c>
      <c r="F215" s="452">
        <v>0</v>
      </c>
      <c r="G215" s="452">
        <v>0</v>
      </c>
      <c r="H215" s="452">
        <v>0</v>
      </c>
      <c r="I215" s="179"/>
      <c r="J215" s="452">
        <v>0</v>
      </c>
      <c r="K215" s="452">
        <v>0</v>
      </c>
      <c r="L215" s="452">
        <v>0</v>
      </c>
      <c r="M215" s="452">
        <v>0</v>
      </c>
      <c r="N215" s="452">
        <v>1</v>
      </c>
      <c r="O215" s="179"/>
      <c r="P215" s="452">
        <v>1</v>
      </c>
      <c r="Q215" s="452">
        <v>1</v>
      </c>
      <c r="R215" s="452">
        <v>1</v>
      </c>
      <c r="S215" s="452">
        <v>1</v>
      </c>
      <c r="T215" s="452">
        <v>1</v>
      </c>
      <c r="U215" s="179"/>
      <c r="V215" s="452">
        <v>1</v>
      </c>
      <c r="W215" s="452">
        <f>14.45/(14.45+16.74)</f>
        <v>0.46328951587047129</v>
      </c>
      <c r="X215" s="452">
        <f>14.45/(14.45+16.74)</f>
        <v>0.46328951587047129</v>
      </c>
      <c r="Y215" s="452">
        <f>14.45/(14.45+16.74)</f>
        <v>0.46328951587047129</v>
      </c>
      <c r="Z215" s="452">
        <f>14.45/(14.45+16.74)</f>
        <v>0.46328951587047129</v>
      </c>
      <c r="AA215" s="179"/>
      <c r="AB215" s="452">
        <v>0.46</v>
      </c>
      <c r="AC215" s="452">
        <v>1</v>
      </c>
      <c r="AD215" s="452">
        <v>1</v>
      </c>
      <c r="AE215" s="452">
        <v>1</v>
      </c>
      <c r="AF215" s="452">
        <v>1</v>
      </c>
      <c r="AG215" s="179"/>
      <c r="AH215" s="452">
        <v>1</v>
      </c>
    </row>
    <row r="216" spans="1:34" x14ac:dyDescent="0.2">
      <c r="A216" s="469"/>
      <c r="B216" s="465"/>
      <c r="C216" s="465"/>
      <c r="D216" s="273"/>
      <c r="E216" s="452"/>
      <c r="F216" s="452"/>
      <c r="G216" s="452"/>
      <c r="H216" s="452"/>
      <c r="I216" s="179"/>
      <c r="J216" s="452"/>
      <c r="K216" s="452"/>
      <c r="L216" s="452"/>
      <c r="M216" s="452"/>
      <c r="N216" s="452"/>
      <c r="O216" s="179"/>
      <c r="P216" s="452"/>
      <c r="Q216" s="452"/>
      <c r="R216" s="452"/>
      <c r="S216" s="452"/>
      <c r="T216" s="452"/>
      <c r="U216" s="179"/>
      <c r="V216" s="452"/>
      <c r="W216" s="452"/>
      <c r="X216" s="452"/>
      <c r="Y216" s="452"/>
      <c r="Z216" s="452"/>
      <c r="AA216" s="179"/>
      <c r="AB216" s="452"/>
      <c r="AC216" s="452"/>
      <c r="AD216" s="452"/>
      <c r="AE216" s="452"/>
      <c r="AF216" s="452"/>
      <c r="AG216" s="179"/>
      <c r="AH216" s="452"/>
    </row>
    <row r="217" spans="1:34" x14ac:dyDescent="0.2">
      <c r="A217" s="469"/>
      <c r="B217" s="465" t="s">
        <v>153</v>
      </c>
      <c r="C217" s="465"/>
      <c r="D217" s="25" t="s">
        <v>100</v>
      </c>
      <c r="E217" s="453">
        <v>0</v>
      </c>
      <c r="F217" s="453">
        <v>0</v>
      </c>
      <c r="G217" s="453">
        <v>0</v>
      </c>
      <c r="H217" s="453">
        <v>0</v>
      </c>
      <c r="I217" s="188"/>
      <c r="J217" s="453">
        <v>0</v>
      </c>
      <c r="K217" s="453">
        <v>0</v>
      </c>
      <c r="L217" s="453">
        <v>0</v>
      </c>
      <c r="M217" s="453">
        <v>0</v>
      </c>
      <c r="N217" s="453">
        <v>0.6</v>
      </c>
      <c r="O217" s="188"/>
      <c r="P217" s="453">
        <v>0.6</v>
      </c>
      <c r="Q217" s="453">
        <v>0.6</v>
      </c>
      <c r="R217" s="453">
        <v>0.6</v>
      </c>
      <c r="S217" s="453">
        <v>0.6</v>
      </c>
      <c r="T217" s="453">
        <v>0.6</v>
      </c>
      <c r="U217" s="188"/>
      <c r="V217" s="453">
        <v>0.6</v>
      </c>
      <c r="W217" s="453">
        <v>0.6</v>
      </c>
      <c r="X217" s="453">
        <v>0.6</v>
      </c>
      <c r="Y217" s="453">
        <v>0.6</v>
      </c>
      <c r="Z217" s="453">
        <v>0.6</v>
      </c>
      <c r="AA217" s="188"/>
      <c r="AB217" s="453">
        <v>0.6</v>
      </c>
      <c r="AC217" s="453">
        <v>0.6</v>
      </c>
      <c r="AD217" s="453">
        <v>0.6</v>
      </c>
      <c r="AE217" s="453">
        <v>0.6</v>
      </c>
      <c r="AF217" s="453">
        <v>0.6</v>
      </c>
      <c r="AG217" s="188"/>
      <c r="AH217" s="453">
        <v>0.6</v>
      </c>
    </row>
    <row r="218" spans="1:34" x14ac:dyDescent="0.2">
      <c r="A218" s="469"/>
      <c r="B218" s="465"/>
      <c r="C218" s="465"/>
      <c r="D218" s="19" t="s">
        <v>31</v>
      </c>
      <c r="E218" s="251"/>
      <c r="F218" s="251"/>
      <c r="G218" s="251"/>
      <c r="H218" s="251"/>
      <c r="I218" s="188"/>
      <c r="J218" s="251"/>
      <c r="K218" s="251"/>
      <c r="L218" s="251"/>
      <c r="M218" s="251"/>
      <c r="N218" s="251"/>
      <c r="O218" s="188"/>
      <c r="P218" s="251"/>
      <c r="Q218" s="251"/>
      <c r="R218" s="251"/>
      <c r="S218" s="251"/>
      <c r="T218" s="251"/>
      <c r="U218" s="188"/>
      <c r="V218" s="251"/>
      <c r="W218" s="251"/>
      <c r="X218" s="251"/>
      <c r="Y218" s="251"/>
      <c r="Z218" s="251"/>
      <c r="AA218" s="188"/>
      <c r="AB218" s="251"/>
      <c r="AC218" s="251"/>
      <c r="AD218" s="251"/>
      <c r="AE218" s="251"/>
      <c r="AF218" s="251"/>
      <c r="AG218" s="188"/>
      <c r="AH218" s="251"/>
    </row>
    <row r="219" spans="1:34" x14ac:dyDescent="0.2">
      <c r="A219" s="181"/>
      <c r="B219" s="182"/>
      <c r="C219" s="182"/>
      <c r="D219" s="33"/>
      <c r="E219" s="199"/>
      <c r="F219" s="199"/>
      <c r="G219" s="199"/>
      <c r="H219" s="199"/>
      <c r="I219" s="200"/>
      <c r="J219" s="200"/>
      <c r="K219" s="199"/>
      <c r="L219" s="199"/>
      <c r="M219" s="199"/>
      <c r="N219" s="199"/>
      <c r="O219" s="200"/>
      <c r="P219" s="200"/>
      <c r="Q219" s="199"/>
      <c r="R219" s="199"/>
      <c r="S219" s="199"/>
      <c r="T219" s="199"/>
      <c r="U219" s="200"/>
      <c r="V219" s="200"/>
      <c r="W219" s="199"/>
      <c r="X219" s="199"/>
      <c r="Y219" s="199"/>
      <c r="Z219" s="199"/>
      <c r="AA219" s="200"/>
      <c r="AB219" s="200"/>
      <c r="AC219" s="199"/>
      <c r="AD219" s="199"/>
      <c r="AE219" s="199"/>
      <c r="AF219" s="199"/>
      <c r="AG219" s="200"/>
      <c r="AH219" s="200"/>
    </row>
    <row r="220" spans="1:34" x14ac:dyDescent="0.2">
      <c r="A220" s="176" t="s">
        <v>34</v>
      </c>
      <c r="B220" s="201"/>
      <c r="C220" s="201"/>
      <c r="D220" s="49"/>
      <c r="E220" s="200"/>
      <c r="F220" s="200"/>
      <c r="G220" s="202"/>
      <c r="H220" s="200"/>
      <c r="I220" s="200"/>
      <c r="J220" s="200"/>
      <c r="K220" s="200"/>
      <c r="L220" s="200"/>
      <c r="M220" s="202"/>
      <c r="N220" s="200"/>
      <c r="O220" s="200"/>
      <c r="P220" s="200"/>
      <c r="Q220" s="200"/>
      <c r="R220" s="200"/>
      <c r="S220" s="202"/>
      <c r="T220" s="200"/>
      <c r="U220" s="200"/>
      <c r="V220" s="200"/>
      <c r="W220" s="200"/>
      <c r="X220" s="200"/>
      <c r="Y220" s="202"/>
      <c r="Z220" s="200"/>
      <c r="AA220" s="200"/>
      <c r="AB220" s="200"/>
      <c r="AC220" s="200"/>
      <c r="AD220" s="200"/>
      <c r="AE220" s="202"/>
      <c r="AF220" s="200"/>
      <c r="AG220" s="200"/>
      <c r="AH220" s="200"/>
    </row>
    <row r="221" spans="1:34" x14ac:dyDescent="0.2">
      <c r="A221" s="176"/>
      <c r="B221" s="201"/>
      <c r="C221" s="201"/>
      <c r="D221" s="49"/>
      <c r="E221" s="200"/>
      <c r="F221" s="200"/>
      <c r="G221" s="200"/>
      <c r="H221" s="200"/>
      <c r="I221" s="179"/>
      <c r="J221" s="179"/>
      <c r="K221" s="200"/>
      <c r="L221" s="200"/>
      <c r="M221" s="200"/>
      <c r="N221" s="200"/>
      <c r="O221" s="179"/>
      <c r="P221" s="179"/>
      <c r="Q221" s="200"/>
      <c r="R221" s="200"/>
      <c r="S221" s="200"/>
      <c r="T221" s="200"/>
      <c r="U221" s="179"/>
      <c r="V221" s="179"/>
      <c r="W221" s="200"/>
      <c r="X221" s="200"/>
      <c r="Y221" s="200"/>
      <c r="Z221" s="200"/>
      <c r="AA221" s="179"/>
      <c r="AB221" s="179"/>
      <c r="AC221" s="200"/>
      <c r="AD221" s="200"/>
      <c r="AE221" s="200"/>
      <c r="AF221" s="200"/>
      <c r="AG221" s="179"/>
      <c r="AH221" s="179"/>
    </row>
    <row r="222" spans="1:34" x14ac:dyDescent="0.2">
      <c r="A222" s="470"/>
      <c r="B222" s="471" t="s">
        <v>38</v>
      </c>
      <c r="C222" s="487"/>
      <c r="D222" s="22"/>
      <c r="E222" s="178">
        <v>2026</v>
      </c>
      <c r="F222" s="178"/>
      <c r="G222" s="461"/>
      <c r="H222" s="461"/>
      <c r="I222" s="180" t="s">
        <v>5</v>
      </c>
      <c r="J222" s="180"/>
      <c r="K222" s="178">
        <v>2027</v>
      </c>
      <c r="L222" s="178"/>
      <c r="M222" s="461"/>
      <c r="N222" s="461"/>
      <c r="O222" s="180" t="s">
        <v>5</v>
      </c>
      <c r="P222" s="180"/>
      <c r="Q222" s="178">
        <v>2028</v>
      </c>
      <c r="R222" s="178"/>
      <c r="S222" s="461"/>
      <c r="T222" s="461"/>
      <c r="U222" s="180" t="s">
        <v>5</v>
      </c>
      <c r="V222" s="180"/>
      <c r="W222" s="178"/>
      <c r="X222" s="178"/>
      <c r="Y222" s="461">
        <v>2029</v>
      </c>
      <c r="Z222" s="461"/>
      <c r="AA222" s="180" t="s">
        <v>5</v>
      </c>
      <c r="AB222" s="180"/>
      <c r="AC222" s="178">
        <v>2030</v>
      </c>
      <c r="AD222" s="178"/>
      <c r="AE222" s="461"/>
      <c r="AF222" s="461"/>
      <c r="AG222" s="180" t="s">
        <v>5</v>
      </c>
      <c r="AH222" s="180"/>
    </row>
    <row r="223" spans="1:34" x14ac:dyDescent="0.2">
      <c r="A223" s="470"/>
      <c r="B223" s="471"/>
      <c r="C223" s="487"/>
      <c r="D223" s="40"/>
      <c r="E223" s="176" t="s">
        <v>1</v>
      </c>
      <c r="F223" s="176" t="s">
        <v>2</v>
      </c>
      <c r="G223" s="176" t="s">
        <v>3</v>
      </c>
      <c r="H223" s="176" t="s">
        <v>4</v>
      </c>
      <c r="I223" s="178">
        <v>9</v>
      </c>
      <c r="J223" s="178"/>
      <c r="K223" s="176" t="s">
        <v>1</v>
      </c>
      <c r="L223" s="176" t="s">
        <v>2</v>
      </c>
      <c r="M223" s="176" t="s">
        <v>3</v>
      </c>
      <c r="N223" s="176" t="s">
        <v>4</v>
      </c>
      <c r="O223" s="178">
        <v>9</v>
      </c>
      <c r="P223" s="178"/>
      <c r="Q223" s="176" t="s">
        <v>1</v>
      </c>
      <c r="R223" s="176" t="s">
        <v>2</v>
      </c>
      <c r="S223" s="176" t="s">
        <v>3</v>
      </c>
      <c r="T223" s="176" t="s">
        <v>4</v>
      </c>
      <c r="U223" s="178">
        <v>9</v>
      </c>
      <c r="V223" s="178"/>
      <c r="W223" s="176"/>
      <c r="X223" s="176"/>
      <c r="Y223" s="176" t="s">
        <v>3</v>
      </c>
      <c r="Z223" s="176" t="s">
        <v>4</v>
      </c>
      <c r="AA223" s="178">
        <v>9</v>
      </c>
      <c r="AB223" s="178"/>
      <c r="AC223" s="176" t="s">
        <v>1</v>
      </c>
      <c r="AD223" s="176" t="s">
        <v>2</v>
      </c>
      <c r="AE223" s="176" t="s">
        <v>3</v>
      </c>
      <c r="AF223" s="176" t="s">
        <v>4</v>
      </c>
      <c r="AG223" s="178">
        <v>9</v>
      </c>
      <c r="AH223" s="178"/>
    </row>
    <row r="224" spans="1:34" x14ac:dyDescent="0.2">
      <c r="A224" s="178">
        <v>0</v>
      </c>
      <c r="B224" s="177">
        <v>1</v>
      </c>
      <c r="C224" s="177">
        <v>2</v>
      </c>
      <c r="D224" s="22">
        <v>3</v>
      </c>
      <c r="E224" s="178" t="s">
        <v>113</v>
      </c>
      <c r="F224" s="178" t="s">
        <v>114</v>
      </c>
      <c r="G224" s="178" t="s">
        <v>115</v>
      </c>
      <c r="H224" s="178" t="s">
        <v>116</v>
      </c>
      <c r="I224" s="178"/>
      <c r="J224" s="178"/>
      <c r="K224" s="178" t="s">
        <v>113</v>
      </c>
      <c r="L224" s="178" t="s">
        <v>114</v>
      </c>
      <c r="M224" s="178" t="s">
        <v>115</v>
      </c>
      <c r="N224" s="178" t="s">
        <v>116</v>
      </c>
      <c r="O224" s="178"/>
      <c r="P224" s="178"/>
      <c r="Q224" s="178" t="s">
        <v>113</v>
      </c>
      <c r="R224" s="178" t="s">
        <v>114</v>
      </c>
      <c r="S224" s="178" t="s">
        <v>115</v>
      </c>
      <c r="T224" s="178" t="s">
        <v>116</v>
      </c>
      <c r="U224" s="178"/>
      <c r="V224" s="178"/>
      <c r="W224" s="178" t="s">
        <v>113</v>
      </c>
      <c r="X224" s="178" t="s">
        <v>114</v>
      </c>
      <c r="Y224" s="178" t="s">
        <v>115</v>
      </c>
      <c r="Z224" s="178" t="s">
        <v>116</v>
      </c>
      <c r="AA224" s="178"/>
      <c r="AB224" s="178"/>
      <c r="AC224" s="178" t="s">
        <v>113</v>
      </c>
      <c r="AD224" s="178" t="s">
        <v>114</v>
      </c>
      <c r="AE224" s="178" t="s">
        <v>115</v>
      </c>
      <c r="AF224" s="178" t="s">
        <v>116</v>
      </c>
      <c r="AG224" s="178"/>
      <c r="AH224" s="178"/>
    </row>
    <row r="225" spans="1:34" x14ac:dyDescent="0.2">
      <c r="A225" s="176">
        <v>3.1</v>
      </c>
      <c r="B225" s="463" t="s">
        <v>105</v>
      </c>
      <c r="C225" s="463"/>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x14ac:dyDescent="0.2">
      <c r="A226" s="469"/>
      <c r="B226" s="465" t="s">
        <v>45</v>
      </c>
      <c r="C226" s="465"/>
      <c r="D226" s="25" t="s">
        <v>101</v>
      </c>
      <c r="E226" s="181">
        <v>2023</v>
      </c>
      <c r="F226" s="181">
        <v>2025</v>
      </c>
      <c r="G226" s="181">
        <v>2028</v>
      </c>
      <c r="H226" s="181">
        <v>2030</v>
      </c>
      <c r="I226" s="192"/>
      <c r="J226" s="192">
        <v>2030</v>
      </c>
      <c r="K226" s="181">
        <v>2033</v>
      </c>
      <c r="L226" s="181">
        <v>2035</v>
      </c>
      <c r="M226" s="181">
        <v>2038</v>
      </c>
      <c r="N226" s="181">
        <v>2040</v>
      </c>
      <c r="O226" s="192"/>
      <c r="P226" s="192">
        <v>2040</v>
      </c>
      <c r="Q226" s="181">
        <v>2045</v>
      </c>
      <c r="R226" s="181">
        <v>2050</v>
      </c>
      <c r="S226" s="181">
        <v>2055</v>
      </c>
      <c r="T226" s="181">
        <v>2060</v>
      </c>
      <c r="U226" s="181"/>
      <c r="V226" s="192">
        <v>2060</v>
      </c>
      <c r="W226" s="181">
        <v>2070</v>
      </c>
      <c r="X226" s="181">
        <v>2080</v>
      </c>
      <c r="Y226" s="181">
        <v>2089</v>
      </c>
      <c r="Z226" s="181">
        <v>2099</v>
      </c>
      <c r="AA226" s="192"/>
      <c r="AB226" s="203">
        <v>2099</v>
      </c>
      <c r="AC226" s="181">
        <v>2094</v>
      </c>
      <c r="AD226" s="181">
        <v>2096</v>
      </c>
      <c r="AE226" s="181">
        <v>2097</v>
      </c>
      <c r="AF226" s="181">
        <v>2099</v>
      </c>
      <c r="AG226" s="192"/>
      <c r="AH226" s="203">
        <v>2099</v>
      </c>
    </row>
    <row r="227" spans="1:34" x14ac:dyDescent="0.2">
      <c r="A227" s="469"/>
      <c r="B227" s="465"/>
      <c r="C227" s="465"/>
      <c r="D227" s="25" t="s">
        <v>32</v>
      </c>
      <c r="E227" s="188">
        <v>25.617000000000001</v>
      </c>
      <c r="F227" s="188">
        <v>25.617000000000001</v>
      </c>
      <c r="G227" s="188">
        <v>25.617000000000001</v>
      </c>
      <c r="H227" s="188">
        <v>25.617000000000001</v>
      </c>
      <c r="I227" s="188"/>
      <c r="J227" s="188">
        <v>25.617000000000001</v>
      </c>
      <c r="K227" s="188">
        <v>25.617000000000001</v>
      </c>
      <c r="L227" s="188">
        <v>25.617000000000001</v>
      </c>
      <c r="M227" s="188">
        <v>25.617000000000001</v>
      </c>
      <c r="N227" s="188">
        <v>25.617000000000001</v>
      </c>
      <c r="O227" s="188"/>
      <c r="P227" s="188">
        <v>25.617000000000001</v>
      </c>
      <c r="Q227" s="188">
        <v>25.617000000000001</v>
      </c>
      <c r="R227" s="188">
        <v>25.617000000000001</v>
      </c>
      <c r="S227" s="188">
        <v>25.617000000000001</v>
      </c>
      <c r="T227" s="188">
        <v>25.617000000000001</v>
      </c>
      <c r="U227" s="196"/>
      <c r="V227" s="188">
        <v>25.617000000000001</v>
      </c>
      <c r="W227" s="188">
        <f>25.617+2.128</f>
        <v>27.745000000000001</v>
      </c>
      <c r="X227" s="188">
        <f>25.617+2.128</f>
        <v>27.745000000000001</v>
      </c>
      <c r="Y227" s="188">
        <f>25.617+2.128</f>
        <v>27.745000000000001</v>
      </c>
      <c r="Z227" s="188">
        <f>25.617+2.128</f>
        <v>27.745000000000001</v>
      </c>
      <c r="AA227" s="188"/>
      <c r="AB227" s="188">
        <f>25.617+2.128</f>
        <v>27.745000000000001</v>
      </c>
      <c r="AC227" s="188">
        <f>25.617+2.128</f>
        <v>27.745000000000001</v>
      </c>
      <c r="AD227" s="188">
        <f>25.617+2.128</f>
        <v>27.745000000000001</v>
      </c>
      <c r="AE227" s="188">
        <f>25.617+2.128</f>
        <v>27.745000000000001</v>
      </c>
      <c r="AF227" s="188">
        <f>25.617+2.128</f>
        <v>27.745000000000001</v>
      </c>
      <c r="AG227" s="188"/>
      <c r="AH227" s="188">
        <f>25.617+2.128</f>
        <v>27.745000000000001</v>
      </c>
    </row>
    <row r="228" spans="1:34" x14ac:dyDescent="0.2">
      <c r="A228" s="469"/>
      <c r="B228" s="465" t="s">
        <v>46</v>
      </c>
      <c r="C228" s="465"/>
      <c r="D228" s="25" t="s">
        <v>32</v>
      </c>
      <c r="E228" s="188">
        <v>25.617000000000001</v>
      </c>
      <c r="F228" s="188">
        <v>25.617000000000001</v>
      </c>
      <c r="G228" s="188">
        <v>25.617000000000001</v>
      </c>
      <c r="H228" s="188">
        <v>25.617000000000001</v>
      </c>
      <c r="I228" s="188"/>
      <c r="J228" s="188">
        <v>25.617000000000001</v>
      </c>
      <c r="K228" s="188">
        <v>25.617000000000001</v>
      </c>
      <c r="L228" s="188">
        <v>25.617000000000001</v>
      </c>
      <c r="M228" s="188">
        <v>25.617000000000001</v>
      </c>
      <c r="N228" s="188">
        <v>25.617000000000001</v>
      </c>
      <c r="O228" s="188"/>
      <c r="P228" s="188">
        <v>25.617000000000001</v>
      </c>
      <c r="Q228" s="188">
        <v>25.617000000000001</v>
      </c>
      <c r="R228" s="188">
        <v>25.617000000000001</v>
      </c>
      <c r="S228" s="188">
        <v>25.617000000000001</v>
      </c>
      <c r="T228" s="188">
        <v>25.617000000000001</v>
      </c>
      <c r="U228" s="196"/>
      <c r="V228" s="188">
        <v>25.617000000000001</v>
      </c>
      <c r="W228" s="188">
        <v>27.75</v>
      </c>
      <c r="X228" s="188">
        <v>27.75</v>
      </c>
      <c r="Y228" s="188">
        <v>27.75</v>
      </c>
      <c r="Z228" s="188">
        <v>27.75</v>
      </c>
      <c r="AA228" s="188"/>
      <c r="AB228" s="188">
        <v>27.75</v>
      </c>
      <c r="AC228" s="188">
        <v>27.75</v>
      </c>
      <c r="AD228" s="188">
        <v>27.75</v>
      </c>
      <c r="AE228" s="188">
        <v>27.75</v>
      </c>
      <c r="AF228" s="188">
        <v>27.75</v>
      </c>
      <c r="AG228" s="188"/>
      <c r="AH228" s="188">
        <v>27.75</v>
      </c>
    </row>
    <row r="229" spans="1:34" ht="25.8" customHeight="1" x14ac:dyDescent="0.2">
      <c r="A229" s="469"/>
      <c r="B229" s="465"/>
      <c r="C229" s="465"/>
      <c r="D229" s="25" t="s">
        <v>143</v>
      </c>
      <c r="E229" s="181">
        <v>4988</v>
      </c>
      <c r="F229" s="181">
        <v>5025</v>
      </c>
      <c r="G229" s="181">
        <v>5063</v>
      </c>
      <c r="H229" s="181">
        <v>5100</v>
      </c>
      <c r="I229" s="192"/>
      <c r="J229" s="192">
        <v>5100</v>
      </c>
      <c r="K229" s="181">
        <v>5138</v>
      </c>
      <c r="L229" s="181">
        <v>5175</v>
      </c>
      <c r="M229" s="181">
        <v>5213</v>
      </c>
      <c r="N229" s="181">
        <v>5250</v>
      </c>
      <c r="O229" s="192"/>
      <c r="P229" s="192">
        <v>5250</v>
      </c>
      <c r="Q229" s="181">
        <v>5188</v>
      </c>
      <c r="R229" s="181">
        <v>5192</v>
      </c>
      <c r="S229" s="181">
        <v>5196</v>
      </c>
      <c r="T229" s="181">
        <v>5200</v>
      </c>
      <c r="U229" s="181"/>
      <c r="V229" s="192">
        <v>5200</v>
      </c>
      <c r="W229" s="181">
        <v>5233</v>
      </c>
      <c r="X229" s="181">
        <v>5267</v>
      </c>
      <c r="Y229" s="181">
        <v>5300</v>
      </c>
      <c r="Z229" s="181">
        <v>5333</v>
      </c>
      <c r="AA229" s="192"/>
      <c r="AB229" s="192">
        <v>5333</v>
      </c>
      <c r="AC229" s="198">
        <v>5334.1642499999998</v>
      </c>
      <c r="AD229" s="198">
        <v>5335.3284999999996</v>
      </c>
      <c r="AE229" s="198">
        <v>5336.4927500000003</v>
      </c>
      <c r="AF229" s="198">
        <v>5337.6570000000011</v>
      </c>
      <c r="AG229" s="192"/>
      <c r="AH229" s="192">
        <v>5337.6570000000011</v>
      </c>
    </row>
    <row r="230" spans="1:34" x14ac:dyDescent="0.2">
      <c r="A230" s="469"/>
      <c r="B230" s="465" t="s">
        <v>47</v>
      </c>
      <c r="C230" s="465"/>
      <c r="D230" s="25" t="s">
        <v>32</v>
      </c>
      <c r="E230" s="188">
        <f>1.202+25.617</f>
        <v>26.819000000000003</v>
      </c>
      <c r="F230" s="188">
        <f>1.202+25.617</f>
        <v>26.819000000000003</v>
      </c>
      <c r="G230" s="188">
        <f>1.202+25.617</f>
        <v>26.819000000000003</v>
      </c>
      <c r="H230" s="188">
        <f>1.202+25.617</f>
        <v>26.819000000000003</v>
      </c>
      <c r="I230" s="192"/>
      <c r="J230" s="188">
        <f>1.202+25.617</f>
        <v>26.819000000000003</v>
      </c>
      <c r="K230" s="188">
        <f>1.202+25.617</f>
        <v>26.819000000000003</v>
      </c>
      <c r="L230" s="188">
        <f>1.202+25.617</f>
        <v>26.819000000000003</v>
      </c>
      <c r="M230" s="188">
        <f>1.202+25.617</f>
        <v>26.819000000000003</v>
      </c>
      <c r="N230" s="188">
        <f>1.202+25.617</f>
        <v>26.819000000000003</v>
      </c>
      <c r="O230" s="192"/>
      <c r="P230" s="188">
        <f>1.202+25.617</f>
        <v>26.819000000000003</v>
      </c>
      <c r="Q230" s="188">
        <f>1.202+25.617</f>
        <v>26.819000000000003</v>
      </c>
      <c r="R230" s="188">
        <f>1.202+25.617</f>
        <v>26.819000000000003</v>
      </c>
      <c r="S230" s="188">
        <f>1.202+25.617</f>
        <v>26.819000000000003</v>
      </c>
      <c r="T230" s="188">
        <f>1.202+25.617</f>
        <v>26.819000000000003</v>
      </c>
      <c r="U230" s="186"/>
      <c r="V230" s="188">
        <f>1.202+25.617</f>
        <v>26.819000000000003</v>
      </c>
      <c r="W230" s="188">
        <f>1.202+25.617+0.552+2.128</f>
        <v>29.499000000000002</v>
      </c>
      <c r="X230" s="188">
        <f>1.202+25.617+0.552+2.128</f>
        <v>29.499000000000002</v>
      </c>
      <c r="Y230" s="188">
        <f>1.202+25.617+0.552+2.128</f>
        <v>29.499000000000002</v>
      </c>
      <c r="Z230" s="188">
        <f>1.202+25.617+0.552+2.128</f>
        <v>29.499000000000002</v>
      </c>
      <c r="AA230" s="192"/>
      <c r="AB230" s="188">
        <f>1.202+25.617+0.552+2.128</f>
        <v>29.499000000000002</v>
      </c>
      <c r="AC230" s="188">
        <f>1.202+25.617+0.552+2.128</f>
        <v>29.499000000000002</v>
      </c>
      <c r="AD230" s="188">
        <f>1.202+25.617+0.552+2.128</f>
        <v>29.499000000000002</v>
      </c>
      <c r="AE230" s="188">
        <f>1.202+25.617+0.552+2.128</f>
        <v>29.499000000000002</v>
      </c>
      <c r="AF230" s="188">
        <f>1.202+25.617+0.552+2.128</f>
        <v>29.499000000000002</v>
      </c>
      <c r="AG230" s="192"/>
      <c r="AH230" s="188">
        <v>29.5</v>
      </c>
    </row>
    <row r="231" spans="1:34" ht="25.2" customHeight="1" x14ac:dyDescent="0.2">
      <c r="A231" s="469"/>
      <c r="B231" s="465"/>
      <c r="C231" s="465"/>
      <c r="D231" s="25" t="s">
        <v>143</v>
      </c>
      <c r="E231" s="181">
        <v>4988</v>
      </c>
      <c r="F231" s="181">
        <v>5025</v>
      </c>
      <c r="G231" s="181">
        <v>5063</v>
      </c>
      <c r="H231" s="181">
        <v>5100</v>
      </c>
      <c r="I231" s="192"/>
      <c r="J231" s="192">
        <v>5100</v>
      </c>
      <c r="K231" s="181">
        <v>5138</v>
      </c>
      <c r="L231" s="181">
        <v>5175</v>
      </c>
      <c r="M231" s="181">
        <v>5213</v>
      </c>
      <c r="N231" s="181">
        <v>5250</v>
      </c>
      <c r="O231" s="192"/>
      <c r="P231" s="192">
        <v>5250</v>
      </c>
      <c r="Q231" s="181">
        <v>5188</v>
      </c>
      <c r="R231" s="181">
        <v>5192</v>
      </c>
      <c r="S231" s="181">
        <v>5196</v>
      </c>
      <c r="T231" s="181">
        <v>5200</v>
      </c>
      <c r="U231" s="181"/>
      <c r="V231" s="192">
        <v>5200</v>
      </c>
      <c r="W231" s="181">
        <v>5233</v>
      </c>
      <c r="X231" s="181">
        <v>5267</v>
      </c>
      <c r="Y231" s="181">
        <v>5300</v>
      </c>
      <c r="Z231" s="181">
        <v>5333</v>
      </c>
      <c r="AA231" s="192"/>
      <c r="AB231" s="192">
        <v>5333</v>
      </c>
      <c r="AC231" s="198">
        <v>5334.1642499999998</v>
      </c>
      <c r="AD231" s="198">
        <v>5335.3284999999996</v>
      </c>
      <c r="AE231" s="198">
        <v>5336.4927500000003</v>
      </c>
      <c r="AF231" s="198">
        <v>5337.6570000000011</v>
      </c>
      <c r="AG231" s="192"/>
      <c r="AH231" s="192">
        <v>5337.6570000000011</v>
      </c>
    </row>
    <row r="232" spans="1:34" x14ac:dyDescent="0.2">
      <c r="A232" s="469"/>
      <c r="B232" s="465" t="s">
        <v>36</v>
      </c>
      <c r="C232" s="465"/>
      <c r="D232" s="25" t="s">
        <v>144</v>
      </c>
      <c r="E232" s="181">
        <v>0</v>
      </c>
      <c r="F232" s="181">
        <v>0</v>
      </c>
      <c r="G232" s="181">
        <v>0</v>
      </c>
      <c r="H232" s="181">
        <v>0</v>
      </c>
      <c r="I232" s="192"/>
      <c r="J232" s="192">
        <v>0</v>
      </c>
      <c r="K232" s="181">
        <v>0</v>
      </c>
      <c r="L232" s="181">
        <v>0</v>
      </c>
      <c r="M232" s="181">
        <v>0</v>
      </c>
      <c r="N232" s="181">
        <v>289</v>
      </c>
      <c r="O232" s="192"/>
      <c r="P232" s="181">
        <v>289</v>
      </c>
      <c r="Q232" s="181">
        <v>290</v>
      </c>
      <c r="R232" s="181">
        <v>299</v>
      </c>
      <c r="S232" s="181">
        <v>300</v>
      </c>
      <c r="T232" s="181">
        <v>310</v>
      </c>
      <c r="U232" s="192"/>
      <c r="V232" s="188">
        <v>310</v>
      </c>
      <c r="W232" s="181">
        <v>450</v>
      </c>
      <c r="X232" s="181">
        <v>550</v>
      </c>
      <c r="Y232" s="181">
        <v>750</v>
      </c>
      <c r="Z232" s="181">
        <v>1065</v>
      </c>
      <c r="AA232" s="192"/>
      <c r="AB232" s="188">
        <v>1065</v>
      </c>
      <c r="AC232" s="181">
        <v>1070</v>
      </c>
      <c r="AD232" s="181">
        <v>1075</v>
      </c>
      <c r="AE232" s="181">
        <v>1080</v>
      </c>
      <c r="AF232" s="181">
        <v>1085</v>
      </c>
      <c r="AG232" s="192"/>
      <c r="AH232" s="188">
        <v>1085</v>
      </c>
    </row>
    <row r="233" spans="1:34" x14ac:dyDescent="0.2">
      <c r="A233" s="469"/>
      <c r="B233" s="465"/>
      <c r="C233" s="465"/>
      <c r="D233" s="25" t="s">
        <v>32</v>
      </c>
      <c r="E233" s="181">
        <v>0</v>
      </c>
      <c r="F233" s="181">
        <v>0</v>
      </c>
      <c r="G233" s="181">
        <v>0</v>
      </c>
      <c r="H233" s="181">
        <v>0</v>
      </c>
      <c r="I233" s="192"/>
      <c r="J233" s="188">
        <v>0</v>
      </c>
      <c r="K233" s="181">
        <v>0</v>
      </c>
      <c r="L233" s="181">
        <v>0</v>
      </c>
      <c r="M233" s="181">
        <v>0</v>
      </c>
      <c r="N233" s="181">
        <v>14.45</v>
      </c>
      <c r="O233" s="192"/>
      <c r="P233" s="188">
        <v>0</v>
      </c>
      <c r="Q233" s="181">
        <v>14.45</v>
      </c>
      <c r="R233" s="181">
        <v>14.45</v>
      </c>
      <c r="S233" s="181">
        <v>14.45</v>
      </c>
      <c r="T233" s="181">
        <v>14.45</v>
      </c>
      <c r="U233" s="192"/>
      <c r="V233" s="188">
        <v>14.45</v>
      </c>
      <c r="W233" s="181">
        <v>14.45</v>
      </c>
      <c r="X233" s="181">
        <v>14.45</v>
      </c>
      <c r="Y233" s="181">
        <v>14.45</v>
      </c>
      <c r="Z233" s="181">
        <v>14.45</v>
      </c>
      <c r="AA233" s="192"/>
      <c r="AB233" s="188">
        <v>14.45</v>
      </c>
      <c r="AC233" s="181">
        <v>14.45</v>
      </c>
      <c r="AD233" s="181">
        <v>14.45</v>
      </c>
      <c r="AE233" s="181">
        <v>14.45</v>
      </c>
      <c r="AF233" s="181">
        <v>14.45</v>
      </c>
      <c r="AG233" s="192"/>
      <c r="AH233" s="188">
        <v>14.45</v>
      </c>
    </row>
    <row r="234" spans="1:34" x14ac:dyDescent="0.2">
      <c r="A234" s="469"/>
      <c r="B234" s="465" t="s">
        <v>48</v>
      </c>
      <c r="C234" s="465"/>
      <c r="D234" s="24" t="s">
        <v>143</v>
      </c>
      <c r="E234" s="181">
        <v>0</v>
      </c>
      <c r="F234" s="181">
        <v>0</v>
      </c>
      <c r="G234" s="181">
        <v>0</v>
      </c>
      <c r="H234" s="181">
        <v>0</v>
      </c>
      <c r="I234" s="192"/>
      <c r="J234" s="192">
        <v>0</v>
      </c>
      <c r="K234" s="181">
        <v>0</v>
      </c>
      <c r="L234" s="181">
        <v>0</v>
      </c>
      <c r="M234" s="181">
        <v>0</v>
      </c>
      <c r="N234" s="179">
        <v>722</v>
      </c>
      <c r="O234" s="192"/>
      <c r="P234" s="192">
        <v>0</v>
      </c>
      <c r="Q234" s="179">
        <v>820</v>
      </c>
      <c r="R234" s="179">
        <v>920</v>
      </c>
      <c r="S234" s="179">
        <v>1000</v>
      </c>
      <c r="T234" s="179">
        <v>1067</v>
      </c>
      <c r="U234" s="192"/>
      <c r="V234" s="192">
        <f>V235*20/100</f>
        <v>1067.2</v>
      </c>
      <c r="W234" s="179">
        <v>1200</v>
      </c>
      <c r="X234" s="179">
        <v>1500</v>
      </c>
      <c r="Y234" s="179">
        <v>1700</v>
      </c>
      <c r="Z234" s="179">
        <v>2136</v>
      </c>
      <c r="AA234" s="192"/>
      <c r="AB234" s="192">
        <f>AB235*40/100</f>
        <v>2135.6</v>
      </c>
      <c r="AC234" s="179">
        <v>2200</v>
      </c>
      <c r="AD234" s="179">
        <v>2300</v>
      </c>
      <c r="AE234" s="179">
        <v>2500</v>
      </c>
      <c r="AF234" s="179">
        <v>2710</v>
      </c>
      <c r="AG234" s="192"/>
      <c r="AH234" s="192">
        <v>2710</v>
      </c>
    </row>
    <row r="235" spans="1:34" x14ac:dyDescent="0.2">
      <c r="A235" s="469"/>
      <c r="B235" s="465"/>
      <c r="C235" s="465"/>
      <c r="D235" s="24" t="s">
        <v>143</v>
      </c>
      <c r="E235" s="181">
        <v>5330</v>
      </c>
      <c r="F235" s="181">
        <v>5330</v>
      </c>
      <c r="G235" s="181">
        <v>5330</v>
      </c>
      <c r="H235" s="181">
        <v>5330</v>
      </c>
      <c r="I235" s="192"/>
      <c r="J235" s="192">
        <v>5330</v>
      </c>
      <c r="K235" s="181">
        <v>5333</v>
      </c>
      <c r="L235" s="181">
        <v>5333</v>
      </c>
      <c r="M235" s="181">
        <v>5333</v>
      </c>
      <c r="N235" s="181">
        <v>5333</v>
      </c>
      <c r="O235" s="192"/>
      <c r="P235" s="192">
        <v>5333</v>
      </c>
      <c r="Q235" s="181">
        <v>5336</v>
      </c>
      <c r="R235" s="181">
        <v>5336</v>
      </c>
      <c r="S235" s="181">
        <v>5336</v>
      </c>
      <c r="T235" s="181">
        <v>5336</v>
      </c>
      <c r="U235" s="192"/>
      <c r="V235" s="192">
        <v>5336</v>
      </c>
      <c r="W235" s="181">
        <v>5339</v>
      </c>
      <c r="X235" s="181">
        <v>5339</v>
      </c>
      <c r="Y235" s="181">
        <v>5339</v>
      </c>
      <c r="Z235" s="181">
        <v>5339</v>
      </c>
      <c r="AA235" s="192"/>
      <c r="AB235" s="192">
        <v>5339</v>
      </c>
      <c r="AC235" s="181">
        <v>5343</v>
      </c>
      <c r="AD235" s="181">
        <v>5343</v>
      </c>
      <c r="AE235" s="181">
        <v>5343</v>
      </c>
      <c r="AF235" s="181">
        <v>5343</v>
      </c>
      <c r="AG235" s="192"/>
      <c r="AH235" s="192">
        <v>5343</v>
      </c>
    </row>
    <row r="236" spans="1:34" x14ac:dyDescent="0.2">
      <c r="A236" s="176">
        <v>3.2</v>
      </c>
      <c r="B236" s="464" t="s">
        <v>37</v>
      </c>
      <c r="C236" s="464"/>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x14ac:dyDescent="0.2">
      <c r="A237" s="466"/>
      <c r="B237" s="465" t="s">
        <v>102</v>
      </c>
      <c r="C237" s="193"/>
      <c r="D237" s="273" t="s">
        <v>78</v>
      </c>
      <c r="E237" s="451">
        <v>0</v>
      </c>
      <c r="F237" s="451">
        <v>0</v>
      </c>
      <c r="G237" s="451">
        <v>0</v>
      </c>
      <c r="H237" s="451">
        <v>0</v>
      </c>
      <c r="I237" s="197"/>
      <c r="J237" s="451">
        <v>0</v>
      </c>
      <c r="K237" s="451">
        <v>0</v>
      </c>
      <c r="L237" s="451">
        <v>0</v>
      </c>
      <c r="M237" s="451">
        <v>0</v>
      </c>
      <c r="N237" s="451">
        <v>0</v>
      </c>
      <c r="O237" s="197"/>
      <c r="P237" s="451">
        <v>0</v>
      </c>
      <c r="Q237" s="451">
        <v>0</v>
      </c>
      <c r="R237" s="451">
        <v>0</v>
      </c>
      <c r="S237" s="451">
        <v>0</v>
      </c>
      <c r="T237" s="451">
        <v>0</v>
      </c>
      <c r="U237" s="197"/>
      <c r="V237" s="451">
        <v>0</v>
      </c>
      <c r="W237" s="451">
        <v>0</v>
      </c>
      <c r="X237" s="451">
        <v>0</v>
      </c>
      <c r="Y237" s="451">
        <v>0</v>
      </c>
      <c r="Z237" s="451">
        <v>0</v>
      </c>
      <c r="AA237" s="197"/>
      <c r="AB237" s="451">
        <v>0</v>
      </c>
      <c r="AC237" s="451">
        <v>0</v>
      </c>
      <c r="AD237" s="451">
        <v>0</v>
      </c>
      <c r="AE237" s="451">
        <v>0</v>
      </c>
      <c r="AF237" s="451">
        <v>0</v>
      </c>
      <c r="AG237" s="197"/>
      <c r="AH237" s="451">
        <v>0</v>
      </c>
    </row>
    <row r="238" spans="1:34" ht="20.399999999999999" x14ac:dyDescent="0.2">
      <c r="A238" s="265"/>
      <c r="B238" s="285"/>
      <c r="C238" s="201" t="s">
        <v>26</v>
      </c>
      <c r="D238" s="273"/>
      <c r="E238" s="252"/>
      <c r="F238" s="252"/>
      <c r="G238" s="252"/>
      <c r="H238" s="252"/>
      <c r="I238" s="197"/>
      <c r="J238" s="252"/>
      <c r="K238" s="252"/>
      <c r="L238" s="252"/>
      <c r="M238" s="252"/>
      <c r="N238" s="252"/>
      <c r="O238" s="197"/>
      <c r="P238" s="252"/>
      <c r="Q238" s="252"/>
      <c r="R238" s="252"/>
      <c r="S238" s="252"/>
      <c r="T238" s="252"/>
      <c r="U238" s="197"/>
      <c r="V238" s="252"/>
      <c r="W238" s="252"/>
      <c r="X238" s="252"/>
      <c r="Y238" s="252"/>
      <c r="Z238" s="252"/>
      <c r="AA238" s="197"/>
      <c r="AB238" s="252"/>
      <c r="AC238" s="252"/>
      <c r="AD238" s="252"/>
      <c r="AE238" s="252"/>
      <c r="AF238" s="252"/>
      <c r="AG238" s="197"/>
      <c r="AH238" s="252"/>
    </row>
    <row r="239" spans="1:34" x14ac:dyDescent="0.2">
      <c r="A239" s="265"/>
      <c r="B239" s="285"/>
      <c r="C239" s="467" t="s">
        <v>7</v>
      </c>
      <c r="D239" s="273" t="s">
        <v>78</v>
      </c>
      <c r="E239" s="451">
        <v>0.01</v>
      </c>
      <c r="F239" s="451">
        <v>0.01</v>
      </c>
      <c r="G239" s="451">
        <v>0.01</v>
      </c>
      <c r="H239" s="451">
        <v>0.01</v>
      </c>
      <c r="I239" s="197"/>
      <c r="J239" s="451">
        <v>0.01</v>
      </c>
      <c r="K239" s="451">
        <v>0.01</v>
      </c>
      <c r="L239" s="451">
        <v>0.01</v>
      </c>
      <c r="M239" s="451">
        <v>0.01</v>
      </c>
      <c r="N239" s="451">
        <v>0.01</v>
      </c>
      <c r="O239" s="197"/>
      <c r="P239" s="451">
        <v>0.01</v>
      </c>
      <c r="Q239" s="451">
        <v>0.01</v>
      </c>
      <c r="R239" s="451">
        <v>0.01</v>
      </c>
      <c r="S239" s="451">
        <v>0.01</v>
      </c>
      <c r="T239" s="451">
        <v>0.01</v>
      </c>
      <c r="U239" s="197"/>
      <c r="V239" s="451">
        <v>0.01</v>
      </c>
      <c r="W239" s="451">
        <v>0.01</v>
      </c>
      <c r="X239" s="451">
        <v>0.01</v>
      </c>
      <c r="Y239" s="451">
        <v>0.01</v>
      </c>
      <c r="Z239" s="451">
        <v>0.01</v>
      </c>
      <c r="AA239" s="197"/>
      <c r="AB239" s="451">
        <v>0.01</v>
      </c>
      <c r="AC239" s="451">
        <v>0.01</v>
      </c>
      <c r="AD239" s="451">
        <v>0.01</v>
      </c>
      <c r="AE239" s="451">
        <v>0.01</v>
      </c>
      <c r="AF239" s="451">
        <v>0.01</v>
      </c>
      <c r="AG239" s="197"/>
      <c r="AH239" s="451">
        <v>0.01</v>
      </c>
    </row>
    <row r="240" spans="1:34" x14ac:dyDescent="0.2">
      <c r="A240" s="265"/>
      <c r="B240" s="285"/>
      <c r="C240" s="287"/>
      <c r="D240" s="273"/>
      <c r="E240" s="252"/>
      <c r="F240" s="252"/>
      <c r="G240" s="252"/>
      <c r="H240" s="252"/>
      <c r="I240" s="197"/>
      <c r="J240" s="252"/>
      <c r="K240" s="252"/>
      <c r="L240" s="252"/>
      <c r="M240" s="252"/>
      <c r="N240" s="252"/>
      <c r="O240" s="197"/>
      <c r="P240" s="252"/>
      <c r="Q240" s="252"/>
      <c r="R240" s="252"/>
      <c r="S240" s="252"/>
      <c r="T240" s="252"/>
      <c r="U240" s="197"/>
      <c r="V240" s="252"/>
      <c r="W240" s="252"/>
      <c r="X240" s="252"/>
      <c r="Y240" s="252"/>
      <c r="Z240" s="252"/>
      <c r="AA240" s="197"/>
      <c r="AB240" s="252"/>
      <c r="AC240" s="252"/>
      <c r="AD240" s="252"/>
      <c r="AE240" s="252"/>
      <c r="AF240" s="252"/>
      <c r="AG240" s="197"/>
      <c r="AH240" s="252"/>
    </row>
    <row r="241" spans="1:34" x14ac:dyDescent="0.2">
      <c r="A241" s="265"/>
      <c r="B241" s="285"/>
      <c r="C241" s="467" t="s">
        <v>8</v>
      </c>
      <c r="D241" s="273" t="s">
        <v>78</v>
      </c>
      <c r="E241" s="451">
        <v>0.01</v>
      </c>
      <c r="F241" s="451">
        <v>0.01</v>
      </c>
      <c r="G241" s="451">
        <v>0.01</v>
      </c>
      <c r="H241" s="451">
        <v>0.01</v>
      </c>
      <c r="I241" s="197"/>
      <c r="J241" s="451">
        <v>0.01</v>
      </c>
      <c r="K241" s="451">
        <v>0.01</v>
      </c>
      <c r="L241" s="451">
        <v>0.01</v>
      </c>
      <c r="M241" s="451">
        <v>0.01</v>
      </c>
      <c r="N241" s="451">
        <v>0.01</v>
      </c>
      <c r="O241" s="197"/>
      <c r="P241" s="451">
        <v>0.01</v>
      </c>
      <c r="Q241" s="451">
        <v>0.01</v>
      </c>
      <c r="R241" s="451">
        <v>0.01</v>
      </c>
      <c r="S241" s="451">
        <v>0.01</v>
      </c>
      <c r="T241" s="451">
        <v>0.01</v>
      </c>
      <c r="U241" s="197"/>
      <c r="V241" s="451">
        <v>0.01</v>
      </c>
      <c r="W241" s="451">
        <v>0.01</v>
      </c>
      <c r="X241" s="451">
        <v>0.01</v>
      </c>
      <c r="Y241" s="451">
        <v>0.01</v>
      </c>
      <c r="Z241" s="451">
        <v>0.01</v>
      </c>
      <c r="AA241" s="197"/>
      <c r="AB241" s="451">
        <v>0.01</v>
      </c>
      <c r="AC241" s="451">
        <v>0.01</v>
      </c>
      <c r="AD241" s="451">
        <v>0.01</v>
      </c>
      <c r="AE241" s="451">
        <v>0.01</v>
      </c>
      <c r="AF241" s="451">
        <v>0.01</v>
      </c>
      <c r="AG241" s="197"/>
      <c r="AH241" s="451">
        <v>0.01</v>
      </c>
    </row>
    <row r="242" spans="1:34" x14ac:dyDescent="0.2">
      <c r="A242" s="265"/>
      <c r="B242" s="285"/>
      <c r="C242" s="287"/>
      <c r="D242" s="273"/>
      <c r="E242" s="252"/>
      <c r="F242" s="252"/>
      <c r="G242" s="252"/>
      <c r="H242" s="252"/>
      <c r="I242" s="197"/>
      <c r="J242" s="252"/>
      <c r="K242" s="252"/>
      <c r="L242" s="252"/>
      <c r="M242" s="252"/>
      <c r="N242" s="252"/>
      <c r="O242" s="197"/>
      <c r="P242" s="252"/>
      <c r="Q242" s="252"/>
      <c r="R242" s="252"/>
      <c r="S242" s="252"/>
      <c r="T242" s="252"/>
      <c r="U242" s="197"/>
      <c r="V242" s="252"/>
      <c r="W242" s="252"/>
      <c r="X242" s="252"/>
      <c r="Y242" s="252"/>
      <c r="Z242" s="252"/>
      <c r="AA242" s="197"/>
      <c r="AB242" s="252"/>
      <c r="AC242" s="252"/>
      <c r="AD242" s="252"/>
      <c r="AE242" s="252"/>
      <c r="AF242" s="252"/>
      <c r="AG242" s="197"/>
      <c r="AH242" s="252"/>
    </row>
    <row r="243" spans="1:34" x14ac:dyDescent="0.2">
      <c r="A243" s="265"/>
      <c r="B243" s="468" t="s">
        <v>103</v>
      </c>
      <c r="C243" s="467" t="s">
        <v>26</v>
      </c>
      <c r="D243" s="273" t="s">
        <v>78</v>
      </c>
      <c r="E243" s="451">
        <v>0</v>
      </c>
      <c r="F243" s="451">
        <v>0</v>
      </c>
      <c r="G243" s="451">
        <v>0</v>
      </c>
      <c r="H243" s="451">
        <v>0</v>
      </c>
      <c r="I243" s="197"/>
      <c r="J243" s="451">
        <v>0</v>
      </c>
      <c r="K243" s="451">
        <v>0</v>
      </c>
      <c r="L243" s="451">
        <v>0</v>
      </c>
      <c r="M243" s="451">
        <v>0</v>
      </c>
      <c r="N243" s="451">
        <v>0</v>
      </c>
      <c r="O243" s="197"/>
      <c r="P243" s="451">
        <v>0</v>
      </c>
      <c r="Q243" s="451">
        <v>0</v>
      </c>
      <c r="R243" s="451">
        <v>0</v>
      </c>
      <c r="S243" s="451">
        <v>0</v>
      </c>
      <c r="T243" s="451">
        <v>0</v>
      </c>
      <c r="U243" s="197"/>
      <c r="V243" s="451">
        <v>0</v>
      </c>
      <c r="W243" s="451">
        <v>0</v>
      </c>
      <c r="X243" s="451">
        <v>0</v>
      </c>
      <c r="Y243" s="451">
        <v>0</v>
      </c>
      <c r="Z243" s="451">
        <v>0</v>
      </c>
      <c r="AA243" s="197"/>
      <c r="AB243" s="451">
        <v>0</v>
      </c>
      <c r="AC243" s="451">
        <v>0</v>
      </c>
      <c r="AD243" s="451">
        <v>0</v>
      </c>
      <c r="AE243" s="451">
        <v>0</v>
      </c>
      <c r="AF243" s="451">
        <v>0</v>
      </c>
      <c r="AG243" s="197"/>
      <c r="AH243" s="451">
        <v>0</v>
      </c>
    </row>
    <row r="244" spans="1:34" x14ac:dyDescent="0.2">
      <c r="A244" s="265"/>
      <c r="B244" s="468"/>
      <c r="C244" s="287"/>
      <c r="D244" s="273"/>
      <c r="E244" s="252"/>
      <c r="F244" s="252"/>
      <c r="G244" s="252"/>
      <c r="H244" s="252"/>
      <c r="I244" s="197"/>
      <c r="J244" s="252"/>
      <c r="K244" s="252"/>
      <c r="L244" s="252"/>
      <c r="M244" s="252"/>
      <c r="N244" s="252"/>
      <c r="O244" s="197"/>
      <c r="P244" s="252"/>
      <c r="Q244" s="252"/>
      <c r="R244" s="252"/>
      <c r="S244" s="252"/>
      <c r="T244" s="252"/>
      <c r="U244" s="197"/>
      <c r="V244" s="252"/>
      <c r="W244" s="252"/>
      <c r="X244" s="252"/>
      <c r="Y244" s="252"/>
      <c r="Z244" s="252"/>
      <c r="AA244" s="197"/>
      <c r="AB244" s="252"/>
      <c r="AC244" s="252"/>
      <c r="AD244" s="252"/>
      <c r="AE244" s="252"/>
      <c r="AF244" s="252"/>
      <c r="AG244" s="197"/>
      <c r="AH244" s="252"/>
    </row>
    <row r="245" spans="1:34" x14ac:dyDescent="0.2">
      <c r="A245" s="265"/>
      <c r="B245" s="468"/>
      <c r="C245" s="467" t="s">
        <v>7</v>
      </c>
      <c r="D245" s="273" t="s">
        <v>78</v>
      </c>
      <c r="E245" s="451">
        <v>0</v>
      </c>
      <c r="F245" s="451">
        <v>0</v>
      </c>
      <c r="G245" s="451">
        <v>0</v>
      </c>
      <c r="H245" s="451">
        <v>0</v>
      </c>
      <c r="I245" s="197"/>
      <c r="J245" s="451">
        <v>0</v>
      </c>
      <c r="K245" s="451">
        <v>0</v>
      </c>
      <c r="L245" s="451">
        <v>0</v>
      </c>
      <c r="M245" s="451">
        <v>0</v>
      </c>
      <c r="N245" s="451">
        <v>0</v>
      </c>
      <c r="O245" s="197"/>
      <c r="P245" s="451">
        <v>0</v>
      </c>
      <c r="Q245" s="451">
        <v>0</v>
      </c>
      <c r="R245" s="451">
        <v>0</v>
      </c>
      <c r="S245" s="451">
        <v>0</v>
      </c>
      <c r="T245" s="451">
        <v>0</v>
      </c>
      <c r="U245" s="197"/>
      <c r="V245" s="451">
        <v>0</v>
      </c>
      <c r="W245" s="451">
        <v>0</v>
      </c>
      <c r="X245" s="451">
        <v>0</v>
      </c>
      <c r="Y245" s="451">
        <v>0</v>
      </c>
      <c r="Z245" s="451">
        <v>0</v>
      </c>
      <c r="AA245" s="197"/>
      <c r="AB245" s="451">
        <v>0</v>
      </c>
      <c r="AC245" s="451">
        <v>0</v>
      </c>
      <c r="AD245" s="451">
        <v>0</v>
      </c>
      <c r="AE245" s="451">
        <v>0</v>
      </c>
      <c r="AF245" s="451">
        <v>0</v>
      </c>
      <c r="AG245" s="197"/>
      <c r="AH245" s="451">
        <v>0</v>
      </c>
    </row>
    <row r="246" spans="1:34" x14ac:dyDescent="0.2">
      <c r="A246" s="265"/>
      <c r="B246" s="468"/>
      <c r="C246" s="287"/>
      <c r="D246" s="273"/>
      <c r="E246" s="252"/>
      <c r="F246" s="252"/>
      <c r="G246" s="252"/>
      <c r="H246" s="252"/>
      <c r="I246" s="197"/>
      <c r="J246" s="252"/>
      <c r="K246" s="252"/>
      <c r="L246" s="252"/>
      <c r="M246" s="252"/>
      <c r="N246" s="252"/>
      <c r="O246" s="197"/>
      <c r="P246" s="252"/>
      <c r="Q246" s="252"/>
      <c r="R246" s="252"/>
      <c r="S246" s="252"/>
      <c r="T246" s="252"/>
      <c r="U246" s="197"/>
      <c r="V246" s="252"/>
      <c r="W246" s="252"/>
      <c r="X246" s="252"/>
      <c r="Y246" s="252"/>
      <c r="Z246" s="252"/>
      <c r="AA246" s="197"/>
      <c r="AB246" s="252"/>
      <c r="AC246" s="252"/>
      <c r="AD246" s="252"/>
      <c r="AE246" s="252"/>
      <c r="AF246" s="252"/>
      <c r="AG246" s="197"/>
      <c r="AH246" s="252"/>
    </row>
    <row r="247" spans="1:34" x14ac:dyDescent="0.2">
      <c r="A247" s="265"/>
      <c r="B247" s="468"/>
      <c r="C247" s="287" t="s">
        <v>8</v>
      </c>
      <c r="D247" s="273" t="s">
        <v>78</v>
      </c>
      <c r="E247" s="451">
        <v>0</v>
      </c>
      <c r="F247" s="451">
        <v>0</v>
      </c>
      <c r="G247" s="451">
        <v>0</v>
      </c>
      <c r="H247" s="451">
        <v>0</v>
      </c>
      <c r="I247" s="197"/>
      <c r="J247" s="451">
        <v>0</v>
      </c>
      <c r="K247" s="451">
        <v>0</v>
      </c>
      <c r="L247" s="451">
        <v>0</v>
      </c>
      <c r="M247" s="451">
        <v>0</v>
      </c>
      <c r="N247" s="451">
        <v>0</v>
      </c>
      <c r="O247" s="197"/>
      <c r="P247" s="451">
        <v>0</v>
      </c>
      <c r="Q247" s="451">
        <v>0</v>
      </c>
      <c r="R247" s="451">
        <v>0</v>
      </c>
      <c r="S247" s="451">
        <v>0</v>
      </c>
      <c r="T247" s="451">
        <v>0</v>
      </c>
      <c r="U247" s="197"/>
      <c r="V247" s="451">
        <v>0</v>
      </c>
      <c r="W247" s="451">
        <v>0</v>
      </c>
      <c r="X247" s="451">
        <v>0</v>
      </c>
      <c r="Y247" s="451">
        <v>0</v>
      </c>
      <c r="Z247" s="451">
        <v>0</v>
      </c>
      <c r="AA247" s="197"/>
      <c r="AB247" s="451">
        <v>0</v>
      </c>
      <c r="AC247" s="451">
        <v>0</v>
      </c>
      <c r="AD247" s="451">
        <v>0</v>
      </c>
      <c r="AE247" s="451">
        <v>0</v>
      </c>
      <c r="AF247" s="451">
        <v>0</v>
      </c>
      <c r="AG247" s="197"/>
      <c r="AH247" s="451">
        <v>0</v>
      </c>
    </row>
    <row r="248" spans="1:34" x14ac:dyDescent="0.2">
      <c r="A248" s="265"/>
      <c r="B248" s="468"/>
      <c r="C248" s="287"/>
      <c r="D248" s="273"/>
      <c r="E248" s="451"/>
      <c r="F248" s="451"/>
      <c r="G248" s="451"/>
      <c r="H248" s="451"/>
      <c r="I248" s="197"/>
      <c r="J248" s="451"/>
      <c r="K248" s="451"/>
      <c r="L248" s="451"/>
      <c r="M248" s="451"/>
      <c r="N248" s="451"/>
      <c r="O248" s="197"/>
      <c r="P248" s="451"/>
      <c r="Q248" s="451"/>
      <c r="R248" s="451"/>
      <c r="S248" s="451"/>
      <c r="T248" s="451"/>
      <c r="U248" s="197"/>
      <c r="V248" s="451"/>
      <c r="W248" s="451"/>
      <c r="X248" s="451"/>
      <c r="Y248" s="451"/>
      <c r="Z248" s="451"/>
      <c r="AA248" s="197"/>
      <c r="AB248" s="451"/>
      <c r="AC248" s="451"/>
      <c r="AD248" s="451"/>
      <c r="AE248" s="451"/>
      <c r="AF248" s="451"/>
      <c r="AG248" s="197"/>
      <c r="AH248" s="451"/>
    </row>
    <row r="249" spans="1:34" x14ac:dyDescent="0.2">
      <c r="A249" s="265"/>
      <c r="B249" s="465" t="s">
        <v>49</v>
      </c>
      <c r="C249" s="465" t="s">
        <v>26</v>
      </c>
      <c r="D249" s="273" t="s">
        <v>78</v>
      </c>
      <c r="E249" s="451">
        <v>0</v>
      </c>
      <c r="F249" s="451">
        <v>0</v>
      </c>
      <c r="G249" s="451">
        <v>0</v>
      </c>
      <c r="H249" s="451">
        <v>0</v>
      </c>
      <c r="I249" s="197"/>
      <c r="J249" s="451">
        <v>0</v>
      </c>
      <c r="K249" s="451">
        <v>0</v>
      </c>
      <c r="L249" s="451">
        <v>0</v>
      </c>
      <c r="M249" s="451">
        <v>0</v>
      </c>
      <c r="N249" s="451">
        <v>0</v>
      </c>
      <c r="O249" s="197"/>
      <c r="P249" s="451">
        <v>0</v>
      </c>
      <c r="Q249" s="451">
        <v>0</v>
      </c>
      <c r="R249" s="451">
        <v>0</v>
      </c>
      <c r="S249" s="451">
        <v>0</v>
      </c>
      <c r="T249" s="451">
        <v>0</v>
      </c>
      <c r="U249" s="197"/>
      <c r="V249" s="451">
        <v>0</v>
      </c>
      <c r="W249" s="451">
        <v>0</v>
      </c>
      <c r="X249" s="451">
        <v>0</v>
      </c>
      <c r="Y249" s="451">
        <v>0</v>
      </c>
      <c r="Z249" s="451">
        <v>0</v>
      </c>
      <c r="AA249" s="197"/>
      <c r="AB249" s="451">
        <v>0</v>
      </c>
      <c r="AC249" s="451">
        <v>0</v>
      </c>
      <c r="AD249" s="451">
        <v>0</v>
      </c>
      <c r="AE249" s="451">
        <v>0</v>
      </c>
      <c r="AF249" s="451">
        <v>0</v>
      </c>
      <c r="AG249" s="197"/>
      <c r="AH249" s="451">
        <v>0</v>
      </c>
    </row>
    <row r="250" spans="1:34" x14ac:dyDescent="0.2">
      <c r="A250" s="265"/>
      <c r="B250" s="465"/>
      <c r="C250" s="465"/>
      <c r="D250" s="273"/>
      <c r="E250" s="451"/>
      <c r="F250" s="451"/>
      <c r="G250" s="451"/>
      <c r="H250" s="451"/>
      <c r="I250" s="197"/>
      <c r="J250" s="451"/>
      <c r="K250" s="451"/>
      <c r="L250" s="451"/>
      <c r="M250" s="451"/>
      <c r="N250" s="451"/>
      <c r="O250" s="197"/>
      <c r="P250" s="451"/>
      <c r="Q250" s="451"/>
      <c r="R250" s="451"/>
      <c r="S250" s="451"/>
      <c r="T250" s="451"/>
      <c r="U250" s="197"/>
      <c r="V250" s="451"/>
      <c r="W250" s="451"/>
      <c r="X250" s="451"/>
      <c r="Y250" s="451"/>
      <c r="Z250" s="451"/>
      <c r="AA250" s="197"/>
      <c r="AB250" s="451"/>
      <c r="AC250" s="451"/>
      <c r="AD250" s="451"/>
      <c r="AE250" s="451"/>
      <c r="AF250" s="451"/>
      <c r="AG250" s="197"/>
      <c r="AH250" s="451"/>
    </row>
    <row r="251" spans="1:34" x14ac:dyDescent="0.2">
      <c r="A251" s="265"/>
      <c r="B251" s="465"/>
      <c r="C251" s="465" t="s">
        <v>7</v>
      </c>
      <c r="D251" s="273" t="s">
        <v>78</v>
      </c>
      <c r="E251" s="451">
        <v>0.02</v>
      </c>
      <c r="F251" s="451">
        <v>0.02</v>
      </c>
      <c r="G251" s="451">
        <v>0.02</v>
      </c>
      <c r="H251" s="451">
        <v>0.02</v>
      </c>
      <c r="I251" s="197"/>
      <c r="J251" s="451">
        <v>0.02</v>
      </c>
      <c r="K251" s="451">
        <v>0.02</v>
      </c>
      <c r="L251" s="451">
        <v>0.02</v>
      </c>
      <c r="M251" s="451">
        <v>0.02</v>
      </c>
      <c r="N251" s="451">
        <v>0.02</v>
      </c>
      <c r="O251" s="197"/>
      <c r="P251" s="451">
        <v>0.02</v>
      </c>
      <c r="Q251" s="451">
        <v>0.02</v>
      </c>
      <c r="R251" s="451">
        <v>0.02</v>
      </c>
      <c r="S251" s="451">
        <v>0.02</v>
      </c>
      <c r="T251" s="451">
        <v>0.02</v>
      </c>
      <c r="U251" s="197"/>
      <c r="V251" s="451">
        <v>0.02</v>
      </c>
      <c r="W251" s="451">
        <v>0.02</v>
      </c>
      <c r="X251" s="451">
        <v>0.02</v>
      </c>
      <c r="Y251" s="451">
        <v>0.02</v>
      </c>
      <c r="Z251" s="451">
        <v>0.02</v>
      </c>
      <c r="AA251" s="197"/>
      <c r="AB251" s="451">
        <v>0.02</v>
      </c>
      <c r="AC251" s="451">
        <v>0.02</v>
      </c>
      <c r="AD251" s="451">
        <v>0.02</v>
      </c>
      <c r="AE251" s="451">
        <v>0.02</v>
      </c>
      <c r="AF251" s="451">
        <v>0.02</v>
      </c>
      <c r="AG251" s="197"/>
      <c r="AH251" s="451">
        <v>0.02</v>
      </c>
    </row>
    <row r="252" spans="1:34" x14ac:dyDescent="0.2">
      <c r="A252" s="265"/>
      <c r="B252" s="465"/>
      <c r="C252" s="465"/>
      <c r="D252" s="273"/>
      <c r="E252" s="451"/>
      <c r="F252" s="451"/>
      <c r="G252" s="451"/>
      <c r="H252" s="451"/>
      <c r="I252" s="197"/>
      <c r="J252" s="451"/>
      <c r="K252" s="451"/>
      <c r="L252" s="451"/>
      <c r="M252" s="451"/>
      <c r="N252" s="451"/>
      <c r="O252" s="197"/>
      <c r="P252" s="451"/>
      <c r="Q252" s="451"/>
      <c r="R252" s="451"/>
      <c r="S252" s="451"/>
      <c r="T252" s="451"/>
      <c r="U252" s="197"/>
      <c r="V252" s="451"/>
      <c r="W252" s="451"/>
      <c r="X252" s="451"/>
      <c r="Y252" s="451"/>
      <c r="Z252" s="451"/>
      <c r="AA252" s="197"/>
      <c r="AB252" s="451"/>
      <c r="AC252" s="451"/>
      <c r="AD252" s="451"/>
      <c r="AE252" s="451"/>
      <c r="AF252" s="451"/>
      <c r="AG252" s="197"/>
      <c r="AH252" s="451"/>
    </row>
    <row r="253" spans="1:34" x14ac:dyDescent="0.2">
      <c r="A253" s="265"/>
      <c r="B253" s="465"/>
      <c r="C253" s="465" t="s">
        <v>8</v>
      </c>
      <c r="D253" s="273" t="s">
        <v>78</v>
      </c>
      <c r="E253" s="451">
        <v>0.04</v>
      </c>
      <c r="F253" s="451">
        <v>0.04</v>
      </c>
      <c r="G253" s="451">
        <v>0.04</v>
      </c>
      <c r="H253" s="451">
        <v>0.04</v>
      </c>
      <c r="I253" s="197"/>
      <c r="J253" s="451">
        <v>0.04</v>
      </c>
      <c r="K253" s="451">
        <v>0.04</v>
      </c>
      <c r="L253" s="451">
        <v>0.04</v>
      </c>
      <c r="M253" s="451">
        <v>0.04</v>
      </c>
      <c r="N253" s="451">
        <v>0.04</v>
      </c>
      <c r="O253" s="197"/>
      <c r="P253" s="451">
        <v>0.04</v>
      </c>
      <c r="Q253" s="451">
        <v>0.04</v>
      </c>
      <c r="R253" s="451">
        <v>0.04</v>
      </c>
      <c r="S253" s="451">
        <v>0.04</v>
      </c>
      <c r="T253" s="451">
        <v>0.04</v>
      </c>
      <c r="U253" s="197"/>
      <c r="V253" s="451">
        <v>0.04</v>
      </c>
      <c r="W253" s="451">
        <v>0.04</v>
      </c>
      <c r="X253" s="451">
        <v>0.04</v>
      </c>
      <c r="Y253" s="451">
        <v>0.04</v>
      </c>
      <c r="Z253" s="451">
        <v>0.04</v>
      </c>
      <c r="AA253" s="197"/>
      <c r="AB253" s="451">
        <v>0.04</v>
      </c>
      <c r="AC253" s="451">
        <v>0.04</v>
      </c>
      <c r="AD253" s="451">
        <v>0.04</v>
      </c>
      <c r="AE253" s="451">
        <v>0.04</v>
      </c>
      <c r="AF253" s="451">
        <v>0.04</v>
      </c>
      <c r="AG253" s="197"/>
      <c r="AH253" s="451">
        <v>0.04</v>
      </c>
    </row>
    <row r="254" spans="1:34" x14ac:dyDescent="0.2">
      <c r="A254" s="265"/>
      <c r="B254" s="465"/>
      <c r="C254" s="465"/>
      <c r="D254" s="273"/>
      <c r="E254" s="451"/>
      <c r="F254" s="451"/>
      <c r="G254" s="451"/>
      <c r="H254" s="451"/>
      <c r="I254" s="197"/>
      <c r="J254" s="451"/>
      <c r="K254" s="451"/>
      <c r="L254" s="451"/>
      <c r="M254" s="451"/>
      <c r="N254" s="451"/>
      <c r="O254" s="197"/>
      <c r="P254" s="451"/>
      <c r="Q254" s="451"/>
      <c r="R254" s="451"/>
      <c r="S254" s="451"/>
      <c r="T254" s="451"/>
      <c r="U254" s="197"/>
      <c r="V254" s="451"/>
      <c r="W254" s="451"/>
      <c r="X254" s="451"/>
      <c r="Y254" s="451"/>
      <c r="Z254" s="451"/>
      <c r="AA254" s="197"/>
      <c r="AB254" s="451"/>
      <c r="AC254" s="451"/>
      <c r="AD254" s="451"/>
      <c r="AE254" s="451"/>
      <c r="AF254" s="451"/>
      <c r="AG254" s="197"/>
      <c r="AH254" s="451"/>
    </row>
    <row r="256" spans="1:34" x14ac:dyDescent="0.2">
      <c r="D256" s="9"/>
    </row>
  </sheetData>
  <mergeCells count="2893">
    <mergeCell ref="E253:E254"/>
    <mergeCell ref="F253:F254"/>
    <mergeCell ref="G253:G254"/>
    <mergeCell ref="J251:J252"/>
    <mergeCell ref="D251:D252"/>
    <mergeCell ref="J247:J248"/>
    <mergeCell ref="J249:J250"/>
    <mergeCell ref="D247:D248"/>
    <mergeCell ref="D249:D250"/>
    <mergeCell ref="E245:E246"/>
    <mergeCell ref="J241:J242"/>
    <mergeCell ref="J237:J238"/>
    <mergeCell ref="J239:J240"/>
    <mergeCell ref="C222:C223"/>
    <mergeCell ref="G222:H222"/>
    <mergeCell ref="B225:C225"/>
    <mergeCell ref="B236:C236"/>
    <mergeCell ref="F239:F240"/>
    <mergeCell ref="G239:G240"/>
    <mergeCell ref="H239:H240"/>
    <mergeCell ref="E241:E242"/>
    <mergeCell ref="F241:F242"/>
    <mergeCell ref="G241:G242"/>
    <mergeCell ref="H241:H242"/>
    <mergeCell ref="E243:E244"/>
    <mergeCell ref="F243:F244"/>
    <mergeCell ref="G243:G244"/>
    <mergeCell ref="H243:H244"/>
    <mergeCell ref="H251:H252"/>
    <mergeCell ref="J200:J201"/>
    <mergeCell ref="D202:D203"/>
    <mergeCell ref="B208:C209"/>
    <mergeCell ref="J208:J209"/>
    <mergeCell ref="D210:D211"/>
    <mergeCell ref="D208:D209"/>
    <mergeCell ref="F200:F201"/>
    <mergeCell ref="C185:C186"/>
    <mergeCell ref="B183:B188"/>
    <mergeCell ref="C183:C184"/>
    <mergeCell ref="D213:D214"/>
    <mergeCell ref="D215:D216"/>
    <mergeCell ref="D206:D207"/>
    <mergeCell ref="J185:J186"/>
    <mergeCell ref="J187:J188"/>
    <mergeCell ref="J181:J182"/>
    <mergeCell ref="J183:J184"/>
    <mergeCell ref="D181:D182"/>
    <mergeCell ref="D183:D184"/>
    <mergeCell ref="B177:B182"/>
    <mergeCell ref="H177:H178"/>
    <mergeCell ref="E179:E180"/>
    <mergeCell ref="F179:F180"/>
    <mergeCell ref="G179:G180"/>
    <mergeCell ref="H179:H180"/>
    <mergeCell ref="E181:E182"/>
    <mergeCell ref="F181:F182"/>
    <mergeCell ref="G181:G182"/>
    <mergeCell ref="H181:H182"/>
    <mergeCell ref="E183:E184"/>
    <mergeCell ref="F183:F184"/>
    <mergeCell ref="G183:G184"/>
    <mergeCell ref="D177:D178"/>
    <mergeCell ref="D179:D180"/>
    <mergeCell ref="J173:J174"/>
    <mergeCell ref="J175:J176"/>
    <mergeCell ref="F173:F174"/>
    <mergeCell ref="G173:G174"/>
    <mergeCell ref="H173:H174"/>
    <mergeCell ref="E175:E176"/>
    <mergeCell ref="J169:J170"/>
    <mergeCell ref="J171:J172"/>
    <mergeCell ref="D169:D170"/>
    <mergeCell ref="D171:D172"/>
    <mergeCell ref="J165:J166"/>
    <mergeCell ref="J167:J168"/>
    <mergeCell ref="D167:D168"/>
    <mergeCell ref="D165:D166"/>
    <mergeCell ref="E165:E166"/>
    <mergeCell ref="F165:F166"/>
    <mergeCell ref="E169:E170"/>
    <mergeCell ref="F169:F170"/>
    <mergeCell ref="G169:G170"/>
    <mergeCell ref="H169:H170"/>
    <mergeCell ref="E171:E172"/>
    <mergeCell ref="F171:F172"/>
    <mergeCell ref="G171:G172"/>
    <mergeCell ref="H171:H172"/>
    <mergeCell ref="F175:F176"/>
    <mergeCell ref="G175:G176"/>
    <mergeCell ref="H175:H176"/>
    <mergeCell ref="G177:G178"/>
    <mergeCell ref="D159:D160"/>
    <mergeCell ref="D161:D162"/>
    <mergeCell ref="B159:B164"/>
    <mergeCell ref="C159:C160"/>
    <mergeCell ref="D150:D151"/>
    <mergeCell ref="E150:E151"/>
    <mergeCell ref="F150:F151"/>
    <mergeCell ref="G150:G151"/>
    <mergeCell ref="J129:J130"/>
    <mergeCell ref="D129:D130"/>
    <mergeCell ref="J127:J128"/>
    <mergeCell ref="D127:D128"/>
    <mergeCell ref="J139:J140"/>
    <mergeCell ref="J141:J142"/>
    <mergeCell ref="J137:J138"/>
    <mergeCell ref="D137:D138"/>
    <mergeCell ref="J133:J134"/>
    <mergeCell ref="D133:D134"/>
    <mergeCell ref="C133:C134"/>
    <mergeCell ref="E129:E130"/>
    <mergeCell ref="E131:E132"/>
    <mergeCell ref="E133:E134"/>
    <mergeCell ref="G129:G130"/>
    <mergeCell ref="G131:G132"/>
    <mergeCell ref="E137:E138"/>
    <mergeCell ref="E139:E140"/>
    <mergeCell ref="F129:F130"/>
    <mergeCell ref="F131:F132"/>
    <mergeCell ref="F133:F134"/>
    <mergeCell ref="F135:F136"/>
    <mergeCell ref="J93:J94"/>
    <mergeCell ref="J120:J121"/>
    <mergeCell ref="J122:J123"/>
    <mergeCell ref="J116:J117"/>
    <mergeCell ref="J118:J119"/>
    <mergeCell ref="J114:J115"/>
    <mergeCell ref="C122:C123"/>
    <mergeCell ref="D122:D123"/>
    <mergeCell ref="J112:J113"/>
    <mergeCell ref="J104:J105"/>
    <mergeCell ref="J106:J107"/>
    <mergeCell ref="D100:D101"/>
    <mergeCell ref="D96:D97"/>
    <mergeCell ref="D98:D99"/>
    <mergeCell ref="J91:J92"/>
    <mergeCell ref="D91:D92"/>
    <mergeCell ref="E93:E94"/>
    <mergeCell ref="F93:F94"/>
    <mergeCell ref="G93:G94"/>
    <mergeCell ref="E112:E113"/>
    <mergeCell ref="F112:F113"/>
    <mergeCell ref="G112:G113"/>
    <mergeCell ref="H112:H113"/>
    <mergeCell ref="E114:E115"/>
    <mergeCell ref="F114:F115"/>
    <mergeCell ref="G114:G115"/>
    <mergeCell ref="H114:H115"/>
    <mergeCell ref="G116:G117"/>
    <mergeCell ref="H116:H117"/>
    <mergeCell ref="E118:E119"/>
    <mergeCell ref="F118:F119"/>
    <mergeCell ref="J87:J88"/>
    <mergeCell ref="J89:J90"/>
    <mergeCell ref="D87:D88"/>
    <mergeCell ref="D89:D90"/>
    <mergeCell ref="D65:D66"/>
    <mergeCell ref="B71:C72"/>
    <mergeCell ref="B73:AH73"/>
    <mergeCell ref="D74:D75"/>
    <mergeCell ref="J78:J79"/>
    <mergeCell ref="D78:D79"/>
    <mergeCell ref="B52:B57"/>
    <mergeCell ref="C52:C53"/>
    <mergeCell ref="D52:D53"/>
    <mergeCell ref="C56:C57"/>
    <mergeCell ref="D71:D72"/>
    <mergeCell ref="B58:AH58"/>
    <mergeCell ref="D67:D68"/>
    <mergeCell ref="D69:D70"/>
    <mergeCell ref="D61:D62"/>
    <mergeCell ref="I61:I62"/>
    <mergeCell ref="D54:D55"/>
    <mergeCell ref="I52:I53"/>
    <mergeCell ref="J52:J53"/>
    <mergeCell ref="P52:P53"/>
    <mergeCell ref="V52:V53"/>
    <mergeCell ref="AB52:AB53"/>
    <mergeCell ref="AH52:AH53"/>
    <mergeCell ref="C54:C55"/>
    <mergeCell ref="I54:I55"/>
    <mergeCell ref="J54:J55"/>
    <mergeCell ref="P54:P55"/>
    <mergeCell ref="V54:V55"/>
    <mergeCell ref="C42:C43"/>
    <mergeCell ref="C44:C45"/>
    <mergeCell ref="D56:D57"/>
    <mergeCell ref="A40:A51"/>
    <mergeCell ref="D37:D38"/>
    <mergeCell ref="D35:D36"/>
    <mergeCell ref="D33:D34"/>
    <mergeCell ref="D29:D30"/>
    <mergeCell ref="D31:D32"/>
    <mergeCell ref="A15:A38"/>
    <mergeCell ref="B15:B20"/>
    <mergeCell ref="C15:C16"/>
    <mergeCell ref="D50:D51"/>
    <mergeCell ref="D21:D22"/>
    <mergeCell ref="D23:D24"/>
    <mergeCell ref="D17:D18"/>
    <mergeCell ref="D19:D20"/>
    <mergeCell ref="C19:C20"/>
    <mergeCell ref="B27:B32"/>
    <mergeCell ref="C27:C28"/>
    <mergeCell ref="C31:C32"/>
    <mergeCell ref="D15:D16"/>
    <mergeCell ref="B21:B26"/>
    <mergeCell ref="C29:C30"/>
    <mergeCell ref="B33:B38"/>
    <mergeCell ref="E10:I10"/>
    <mergeCell ref="K10:P10"/>
    <mergeCell ref="W10:AA10"/>
    <mergeCell ref="E11:J11"/>
    <mergeCell ref="K11:O11"/>
    <mergeCell ref="I15:I16"/>
    <mergeCell ref="J15:J16"/>
    <mergeCell ref="B14:AH14"/>
    <mergeCell ref="Q10:V10"/>
    <mergeCell ref="A8:V8"/>
    <mergeCell ref="T3:T5"/>
    <mergeCell ref="U3:U5"/>
    <mergeCell ref="AE5:AE6"/>
    <mergeCell ref="A2:L2"/>
    <mergeCell ref="A3:J3"/>
    <mergeCell ref="A4:J4"/>
    <mergeCell ref="A5:B5"/>
    <mergeCell ref="A6:B6"/>
    <mergeCell ref="A7:L7"/>
    <mergeCell ref="AC10:AG10"/>
    <mergeCell ref="Q11:U11"/>
    <mergeCell ref="W11:AA11"/>
    <mergeCell ref="AC11:AG11"/>
    <mergeCell ref="B10:B12"/>
    <mergeCell ref="C10:C12"/>
    <mergeCell ref="AG15:AG16"/>
    <mergeCell ref="J21:J22"/>
    <mergeCell ref="J29:J30"/>
    <mergeCell ref="O15:O16"/>
    <mergeCell ref="P15:P16"/>
    <mergeCell ref="V15:V16"/>
    <mergeCell ref="I23:I24"/>
    <mergeCell ref="J23:J24"/>
    <mergeCell ref="O23:O24"/>
    <mergeCell ref="P23:P24"/>
    <mergeCell ref="AB15:AB16"/>
    <mergeCell ref="AH15:AH16"/>
    <mergeCell ref="C17:C18"/>
    <mergeCell ref="I17:I18"/>
    <mergeCell ref="J17:J18"/>
    <mergeCell ref="O17:O18"/>
    <mergeCell ref="P17:P18"/>
    <mergeCell ref="V17:V18"/>
    <mergeCell ref="AB17:AB18"/>
    <mergeCell ref="AH17:AH18"/>
    <mergeCell ref="O19:O20"/>
    <mergeCell ref="P19:P20"/>
    <mergeCell ref="V19:V20"/>
    <mergeCell ref="AB19:AB20"/>
    <mergeCell ref="M19:M20"/>
    <mergeCell ref="N19:N20"/>
    <mergeCell ref="Q19:Q20"/>
    <mergeCell ref="R19:R20"/>
    <mergeCell ref="AH19:AH20"/>
    <mergeCell ref="C21:C22"/>
    <mergeCell ref="O21:O22"/>
    <mergeCell ref="P21:P22"/>
    <mergeCell ref="AB21:AB22"/>
    <mergeCell ref="AH21:AH22"/>
    <mergeCell ref="C23:C24"/>
    <mergeCell ref="V23:V24"/>
    <mergeCell ref="AH23:AH24"/>
    <mergeCell ref="C25:C26"/>
    <mergeCell ref="I25:I26"/>
    <mergeCell ref="J25:J26"/>
    <mergeCell ref="O25:O26"/>
    <mergeCell ref="P25:P26"/>
    <mergeCell ref="V25:V26"/>
    <mergeCell ref="AB25:AB26"/>
    <mergeCell ref="D25:D26"/>
    <mergeCell ref="I27:I28"/>
    <mergeCell ref="J27:J28"/>
    <mergeCell ref="O27:O28"/>
    <mergeCell ref="P27:P28"/>
    <mergeCell ref="D27:D28"/>
    <mergeCell ref="E21:E22"/>
    <mergeCell ref="F21:F22"/>
    <mergeCell ref="G21:G22"/>
    <mergeCell ref="H21:H22"/>
    <mergeCell ref="K21:K22"/>
    <mergeCell ref="L21:L22"/>
    <mergeCell ref="M21:M22"/>
    <mergeCell ref="N21:N22"/>
    <mergeCell ref="Q21:Q22"/>
    <mergeCell ref="R21:R22"/>
    <mergeCell ref="S21:S22"/>
    <mergeCell ref="T21:T22"/>
    <mergeCell ref="U21:U22"/>
    <mergeCell ref="I21:I22"/>
    <mergeCell ref="O29:O30"/>
    <mergeCell ref="P29:P30"/>
    <mergeCell ref="AH25:AH26"/>
    <mergeCell ref="V27:V28"/>
    <mergeCell ref="AB27:AB28"/>
    <mergeCell ref="AH27:AH28"/>
    <mergeCell ref="AH29:AH30"/>
    <mergeCell ref="W25:W26"/>
    <mergeCell ref="X25:X26"/>
    <mergeCell ref="Y25:Y26"/>
    <mergeCell ref="I31:I32"/>
    <mergeCell ref="J31:J32"/>
    <mergeCell ref="O31:O32"/>
    <mergeCell ref="P31:P32"/>
    <mergeCell ref="V31:V32"/>
    <mergeCell ref="AB31:AB32"/>
    <mergeCell ref="N31:N32"/>
    <mergeCell ref="AH31:AH32"/>
    <mergeCell ref="AA27:AA28"/>
    <mergeCell ref="AC27:AC28"/>
    <mergeCell ref="AD27:AD28"/>
    <mergeCell ref="AE27:AE28"/>
    <mergeCell ref="AF27:AF28"/>
    <mergeCell ref="AG27:AG28"/>
    <mergeCell ref="Z29:Z30"/>
    <mergeCell ref="AA29:AA30"/>
    <mergeCell ref="AC29:AC30"/>
    <mergeCell ref="AD29:AD30"/>
    <mergeCell ref="AB29:AB30"/>
    <mergeCell ref="AE29:AE30"/>
    <mergeCell ref="AF29:AF30"/>
    <mergeCell ref="C33:C34"/>
    <mergeCell ref="I33:I34"/>
    <mergeCell ref="J33:J34"/>
    <mergeCell ref="O33:O34"/>
    <mergeCell ref="P33:P34"/>
    <mergeCell ref="V33:V34"/>
    <mergeCell ref="AB33:AB34"/>
    <mergeCell ref="AH33:AH34"/>
    <mergeCell ref="C35:C36"/>
    <mergeCell ref="I35:I36"/>
    <mergeCell ref="J35:J36"/>
    <mergeCell ref="O35:O36"/>
    <mergeCell ref="P35:P36"/>
    <mergeCell ref="V35:V36"/>
    <mergeCell ref="AB35:AB36"/>
    <mergeCell ref="AH35:AH36"/>
    <mergeCell ref="AH37:AH38"/>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AH40:AH41"/>
    <mergeCell ref="B39:AH39"/>
    <mergeCell ref="C37:C38"/>
    <mergeCell ref="J37:J38"/>
    <mergeCell ref="I42:I43"/>
    <mergeCell ref="J42:J43"/>
    <mergeCell ref="P42:P43"/>
    <mergeCell ref="V42:V43"/>
    <mergeCell ref="AB42:AB43"/>
    <mergeCell ref="AH42:AH43"/>
    <mergeCell ref="I44:I45"/>
    <mergeCell ref="J44:J45"/>
    <mergeCell ref="P44:P45"/>
    <mergeCell ref="V44:V45"/>
    <mergeCell ref="AB44:AB45"/>
    <mergeCell ref="AH44:AH45"/>
    <mergeCell ref="E37:E38"/>
    <mergeCell ref="F37:F38"/>
    <mergeCell ref="G37:G38"/>
    <mergeCell ref="H37:H38"/>
    <mergeCell ref="I37:I38"/>
    <mergeCell ref="K37:K38"/>
    <mergeCell ref="L37:L38"/>
    <mergeCell ref="M37:M38"/>
    <mergeCell ref="N37:N38"/>
    <mergeCell ref="Q37:Q38"/>
    <mergeCell ref="R37:R38"/>
    <mergeCell ref="D44:D45"/>
    <mergeCell ref="D40:D41"/>
    <mergeCell ref="D42:D43"/>
    <mergeCell ref="B40:B45"/>
    <mergeCell ref="C40:C41"/>
    <mergeCell ref="B46:B51"/>
    <mergeCell ref="C46:C47"/>
    <mergeCell ref="I46:I47"/>
    <mergeCell ref="J46:J47"/>
    <mergeCell ref="P46:P47"/>
    <mergeCell ref="V46:V47"/>
    <mergeCell ref="C50:C51"/>
    <mergeCell ref="I50:I51"/>
    <mergeCell ref="J50:J51"/>
    <mergeCell ref="P50:P51"/>
    <mergeCell ref="AB46:AB47"/>
    <mergeCell ref="AH46:AH47"/>
    <mergeCell ref="C48:C49"/>
    <mergeCell ref="I48:I49"/>
    <mergeCell ref="J48:J49"/>
    <mergeCell ref="P48:P49"/>
    <mergeCell ref="V48:V49"/>
    <mergeCell ref="AB48:AB49"/>
    <mergeCell ref="E48:E49"/>
    <mergeCell ref="F48:F49"/>
    <mergeCell ref="V50:V51"/>
    <mergeCell ref="AH48:AH49"/>
    <mergeCell ref="AB50:AB51"/>
    <mergeCell ref="AH50:AH51"/>
    <mergeCell ref="D48:D49"/>
    <mergeCell ref="G48:G49"/>
    <mergeCell ref="H48:H49"/>
    <mergeCell ref="E50:E51"/>
    <mergeCell ref="F50:F51"/>
    <mergeCell ref="G50:G51"/>
    <mergeCell ref="H50:H51"/>
    <mergeCell ref="D46:D47"/>
    <mergeCell ref="AH54:AH55"/>
    <mergeCell ref="E52:E53"/>
    <mergeCell ref="I56:I57"/>
    <mergeCell ref="J56:J57"/>
    <mergeCell ref="P56:P57"/>
    <mergeCell ref="V56:V57"/>
    <mergeCell ref="AB56:AB57"/>
    <mergeCell ref="AH56:AH57"/>
    <mergeCell ref="S56:S57"/>
    <mergeCell ref="X56:X57"/>
    <mergeCell ref="AC56:AC57"/>
    <mergeCell ref="AF56:AF57"/>
    <mergeCell ref="A59:A72"/>
    <mergeCell ref="B59:C60"/>
    <mergeCell ref="I59:I60"/>
    <mergeCell ref="J59:J60"/>
    <mergeCell ref="P59:P60"/>
    <mergeCell ref="B63:C64"/>
    <mergeCell ref="J63:J64"/>
    <mergeCell ref="P63:P64"/>
    <mergeCell ref="B67:C68"/>
    <mergeCell ref="J67:J68"/>
    <mergeCell ref="V59:V60"/>
    <mergeCell ref="AB59:AB60"/>
    <mergeCell ref="AH59:AH60"/>
    <mergeCell ref="B61:C62"/>
    <mergeCell ref="J61:J62"/>
    <mergeCell ref="P61:P62"/>
    <mergeCell ref="V61:V62"/>
    <mergeCell ref="AB61:AB62"/>
    <mergeCell ref="AH61:AH62"/>
    <mergeCell ref="A52:A57"/>
    <mergeCell ref="D59:D60"/>
    <mergeCell ref="V63:V64"/>
    <mergeCell ref="AB63:AB64"/>
    <mergeCell ref="AH63:AH64"/>
    <mergeCell ref="B65:C66"/>
    <mergeCell ref="J65:J66"/>
    <mergeCell ref="P65:P66"/>
    <mergeCell ref="V65:V66"/>
    <mergeCell ref="AB65:AB66"/>
    <mergeCell ref="AH65:AH66"/>
    <mergeCell ref="D63:D64"/>
    <mergeCell ref="P67:P68"/>
    <mergeCell ref="V67:V68"/>
    <mergeCell ref="AB67:AB68"/>
    <mergeCell ref="AH67:AH68"/>
    <mergeCell ref="B69:C70"/>
    <mergeCell ref="J69:J70"/>
    <mergeCell ref="P69:P70"/>
    <mergeCell ref="V69:V70"/>
    <mergeCell ref="AB69:AB70"/>
    <mergeCell ref="AH69:AH70"/>
    <mergeCell ref="E65:E66"/>
    <mergeCell ref="F65:F66"/>
    <mergeCell ref="G65:G66"/>
    <mergeCell ref="H65:H66"/>
    <mergeCell ref="E67:E68"/>
    <mergeCell ref="F67:F68"/>
    <mergeCell ref="G67:G68"/>
    <mergeCell ref="H67:H68"/>
    <mergeCell ref="E69:E70"/>
    <mergeCell ref="F69:F70"/>
    <mergeCell ref="G69:G70"/>
    <mergeCell ref="J71:J72"/>
    <mergeCell ref="P71:P72"/>
    <mergeCell ref="V71:V72"/>
    <mergeCell ref="AB71:AB72"/>
    <mergeCell ref="AH71:AH72"/>
    <mergeCell ref="A74:A79"/>
    <mergeCell ref="B74:C75"/>
    <mergeCell ref="J74:J75"/>
    <mergeCell ref="P74:P75"/>
    <mergeCell ref="V74:V75"/>
    <mergeCell ref="V78:V79"/>
    <mergeCell ref="AB74:AB75"/>
    <mergeCell ref="AH74:AH75"/>
    <mergeCell ref="B76:C76"/>
    <mergeCell ref="B77:C77"/>
    <mergeCell ref="B78:C79"/>
    <mergeCell ref="AB78:AB79"/>
    <mergeCell ref="AH78:AH79"/>
    <mergeCell ref="E78:E79"/>
    <mergeCell ref="N71:N72"/>
    <mergeCell ref="Q71:Q72"/>
    <mergeCell ref="R71:R72"/>
    <mergeCell ref="S71:S72"/>
    <mergeCell ref="T71:T72"/>
    <mergeCell ref="W71:W72"/>
    <mergeCell ref="X71:X72"/>
    <mergeCell ref="Y71:Y72"/>
    <mergeCell ref="Z71:Z72"/>
    <mergeCell ref="AC71:AC72"/>
    <mergeCell ref="AD71:AD72"/>
    <mergeCell ref="AE71:AE72"/>
    <mergeCell ref="AF71:AF72"/>
    <mergeCell ref="A82:A107"/>
    <mergeCell ref="B83:B88"/>
    <mergeCell ref="C83:C84"/>
    <mergeCell ref="P83:P84"/>
    <mergeCell ref="V83:V84"/>
    <mergeCell ref="AB83:AB84"/>
    <mergeCell ref="C87:C88"/>
    <mergeCell ref="P87:P88"/>
    <mergeCell ref="V87:V88"/>
    <mergeCell ref="AB87:AB88"/>
    <mergeCell ref="AH83:AH84"/>
    <mergeCell ref="C85:C86"/>
    <mergeCell ref="P85:P86"/>
    <mergeCell ref="V85:V86"/>
    <mergeCell ref="AB85:AB86"/>
    <mergeCell ref="AH85:AH86"/>
    <mergeCell ref="D85:D86"/>
    <mergeCell ref="J83:J84"/>
    <mergeCell ref="J85:J86"/>
    <mergeCell ref="D83:D84"/>
    <mergeCell ref="AH87:AH88"/>
    <mergeCell ref="B89:B94"/>
    <mergeCell ref="C89:C90"/>
    <mergeCell ref="P89:P90"/>
    <mergeCell ref="V89:V90"/>
    <mergeCell ref="AB89:AB90"/>
    <mergeCell ref="C93:C94"/>
    <mergeCell ref="P93:P94"/>
    <mergeCell ref="V93:V94"/>
    <mergeCell ref="AH89:AH90"/>
    <mergeCell ref="P91:P92"/>
    <mergeCell ref="V91:V92"/>
    <mergeCell ref="AH91:AH92"/>
    <mergeCell ref="AB93:AB94"/>
    <mergeCell ref="AH93:AH94"/>
    <mergeCell ref="Q91:Q92"/>
    <mergeCell ref="R91:R92"/>
    <mergeCell ref="S91:S92"/>
    <mergeCell ref="T91:T92"/>
    <mergeCell ref="B95:C95"/>
    <mergeCell ref="B96:B101"/>
    <mergeCell ref="C96:C97"/>
    <mergeCell ref="J96:J97"/>
    <mergeCell ref="P96:P97"/>
    <mergeCell ref="V96:V97"/>
    <mergeCell ref="C100:C101"/>
    <mergeCell ref="J100:J101"/>
    <mergeCell ref="P100:P101"/>
    <mergeCell ref="V100:V101"/>
    <mergeCell ref="AB96:AB97"/>
    <mergeCell ref="AH96:AH97"/>
    <mergeCell ref="C98:C99"/>
    <mergeCell ref="J98:J99"/>
    <mergeCell ref="P98:P99"/>
    <mergeCell ref="V98:V99"/>
    <mergeCell ref="AB98:AB99"/>
    <mergeCell ref="AH98:AH99"/>
    <mergeCell ref="E96:E97"/>
    <mergeCell ref="F96:F97"/>
    <mergeCell ref="AB100:AB101"/>
    <mergeCell ref="AH100:AH101"/>
    <mergeCell ref="N91:N92"/>
    <mergeCell ref="AD93:AD94"/>
    <mergeCell ref="C91:C92"/>
    <mergeCell ref="B102:B107"/>
    <mergeCell ref="C102:C103"/>
    <mergeCell ref="P102:P103"/>
    <mergeCell ref="V102:V103"/>
    <mergeCell ref="AB102:AB103"/>
    <mergeCell ref="AH102:AH103"/>
    <mergeCell ref="J102:J103"/>
    <mergeCell ref="C104:C105"/>
    <mergeCell ref="P104:P105"/>
    <mergeCell ref="V104:V105"/>
    <mergeCell ref="AB104:AB105"/>
    <mergeCell ref="AH104:AH105"/>
    <mergeCell ref="C106:C107"/>
    <mergeCell ref="P106:P107"/>
    <mergeCell ref="V106:V107"/>
    <mergeCell ref="AB106:AB107"/>
    <mergeCell ref="AH106:AH107"/>
    <mergeCell ref="E104:E105"/>
    <mergeCell ref="E106:E107"/>
    <mergeCell ref="F106:F107"/>
    <mergeCell ref="G106:G107"/>
    <mergeCell ref="H106:H107"/>
    <mergeCell ref="L102:L103"/>
    <mergeCell ref="M102:M103"/>
    <mergeCell ref="N102:N103"/>
    <mergeCell ref="K104:K105"/>
    <mergeCell ref="L104:L105"/>
    <mergeCell ref="M104:M105"/>
    <mergeCell ref="N104:N105"/>
    <mergeCell ref="K106:K107"/>
    <mergeCell ref="L106:L107"/>
    <mergeCell ref="M106:M107"/>
    <mergeCell ref="A109:A123"/>
    <mergeCell ref="B109:C109"/>
    <mergeCell ref="B110:C111"/>
    <mergeCell ref="P110:P111"/>
    <mergeCell ref="J110:J111"/>
    <mergeCell ref="C114:C115"/>
    <mergeCell ref="P114:P115"/>
    <mergeCell ref="B118:B123"/>
    <mergeCell ref="C118:C119"/>
    <mergeCell ref="P118:P119"/>
    <mergeCell ref="V110:V111"/>
    <mergeCell ref="AB110:AB111"/>
    <mergeCell ref="AH110:AH111"/>
    <mergeCell ref="B112:B117"/>
    <mergeCell ref="C112:C113"/>
    <mergeCell ref="P112:P113"/>
    <mergeCell ref="V112:V113"/>
    <mergeCell ref="AB112:AB113"/>
    <mergeCell ref="AH112:AH113"/>
    <mergeCell ref="V114:V115"/>
    <mergeCell ref="AB114:AB115"/>
    <mergeCell ref="AH114:AH115"/>
    <mergeCell ref="C116:C117"/>
    <mergeCell ref="P116:P117"/>
    <mergeCell ref="V116:V117"/>
    <mergeCell ref="AB116:AB117"/>
    <mergeCell ref="AH116:AH117"/>
    <mergeCell ref="D116:D117"/>
    <mergeCell ref="E116:E117"/>
    <mergeCell ref="F116:F117"/>
    <mergeCell ref="V118:V119"/>
    <mergeCell ref="AB118:AB119"/>
    <mergeCell ref="AH118:AH119"/>
    <mergeCell ref="C120:C121"/>
    <mergeCell ref="P120:P121"/>
    <mergeCell ref="V120:V121"/>
    <mergeCell ref="AB120:AB121"/>
    <mergeCell ref="AH120:AH121"/>
    <mergeCell ref="D120:D121"/>
    <mergeCell ref="D118:D119"/>
    <mergeCell ref="P122:P123"/>
    <mergeCell ref="V122:V123"/>
    <mergeCell ref="AB122:AB123"/>
    <mergeCell ref="AH122:AH123"/>
    <mergeCell ref="A125:A151"/>
    <mergeCell ref="B125:B130"/>
    <mergeCell ref="C125:C126"/>
    <mergeCell ref="C127:C128"/>
    <mergeCell ref="B131:B136"/>
    <mergeCell ref="C131:C132"/>
    <mergeCell ref="C135:C136"/>
    <mergeCell ref="P127:P128"/>
    <mergeCell ref="V127:V128"/>
    <mergeCell ref="AB127:AB128"/>
    <mergeCell ref="AH127:AH128"/>
    <mergeCell ref="C129:C130"/>
    <mergeCell ref="P129:P130"/>
    <mergeCell ref="V129:V130"/>
    <mergeCell ref="AB129:AB130"/>
    <mergeCell ref="AH129:AH130"/>
    <mergeCell ref="P131:P132"/>
    <mergeCell ref="V131:V132"/>
    <mergeCell ref="AB131:AB132"/>
    <mergeCell ref="AH131:AH132"/>
    <mergeCell ref="D135:D136"/>
    <mergeCell ref="V135:V136"/>
    <mergeCell ref="AB135:AB136"/>
    <mergeCell ref="AH135:AH136"/>
    <mergeCell ref="E135:E136"/>
    <mergeCell ref="R135:R136"/>
    <mergeCell ref="S135:S136"/>
    <mergeCell ref="T135:T136"/>
    <mergeCell ref="B137:B142"/>
    <mergeCell ref="C137:C138"/>
    <mergeCell ref="P137:P138"/>
    <mergeCell ref="V137:V138"/>
    <mergeCell ref="AB137:AB138"/>
    <mergeCell ref="AH137:AH138"/>
    <mergeCell ref="C139:C140"/>
    <mergeCell ref="P139:P140"/>
    <mergeCell ref="V139:V140"/>
    <mergeCell ref="AB139:AB140"/>
    <mergeCell ref="AH139:AH140"/>
    <mergeCell ref="C141:C142"/>
    <mergeCell ref="P141:P142"/>
    <mergeCell ref="V141:V142"/>
    <mergeCell ref="AB141:AB142"/>
    <mergeCell ref="AH141:AH142"/>
    <mergeCell ref="K141:K142"/>
    <mergeCell ref="A153:A188"/>
    <mergeCell ref="B153:B158"/>
    <mergeCell ref="C153:C154"/>
    <mergeCell ref="P153:P154"/>
    <mergeCell ref="V153:V154"/>
    <mergeCell ref="C157:C158"/>
    <mergeCell ref="P157:P158"/>
    <mergeCell ref="V157:V158"/>
    <mergeCell ref="AB153:AB154"/>
    <mergeCell ref="AH153:AH154"/>
    <mergeCell ref="C155:C156"/>
    <mergeCell ref="P155:P156"/>
    <mergeCell ref="V155:V156"/>
    <mergeCell ref="AB155:AB156"/>
    <mergeCell ref="AH155:AH156"/>
    <mergeCell ref="D153:D154"/>
    <mergeCell ref="D155:D156"/>
    <mergeCell ref="J155:J156"/>
    <mergeCell ref="E155:E156"/>
    <mergeCell ref="V159:V160"/>
    <mergeCell ref="AB159:AB160"/>
    <mergeCell ref="AH159:AH160"/>
    <mergeCell ref="C161:C162"/>
    <mergeCell ref="P161:P162"/>
    <mergeCell ref="J159:J160"/>
    <mergeCell ref="J161:J162"/>
    <mergeCell ref="E159:E160"/>
    <mergeCell ref="F159:F160"/>
    <mergeCell ref="G159:G160"/>
    <mergeCell ref="P163:P164"/>
    <mergeCell ref="V163:V164"/>
    <mergeCell ref="AB163:AB164"/>
    <mergeCell ref="AH163:AH164"/>
    <mergeCell ref="D157:D158"/>
    <mergeCell ref="AH157:AH158"/>
    <mergeCell ref="J157:J158"/>
    <mergeCell ref="J163:J164"/>
    <mergeCell ref="D163:D164"/>
    <mergeCell ref="P159:P160"/>
    <mergeCell ref="AH165:AH166"/>
    <mergeCell ref="C167:C168"/>
    <mergeCell ref="P167:P168"/>
    <mergeCell ref="V167:V168"/>
    <mergeCell ref="AB167:AB168"/>
    <mergeCell ref="AB157:AB158"/>
    <mergeCell ref="V161:V162"/>
    <mergeCell ref="AB161:AB162"/>
    <mergeCell ref="AH161:AH162"/>
    <mergeCell ref="C163:C164"/>
    <mergeCell ref="E163:E164"/>
    <mergeCell ref="F163:F164"/>
    <mergeCell ref="G163:G164"/>
    <mergeCell ref="H163:H164"/>
    <mergeCell ref="E167:E168"/>
    <mergeCell ref="F167:F168"/>
    <mergeCell ref="G167:G168"/>
    <mergeCell ref="H167:H168"/>
    <mergeCell ref="L165:L166"/>
    <mergeCell ref="M165:M166"/>
    <mergeCell ref="N165:N166"/>
    <mergeCell ref="K167:K168"/>
    <mergeCell ref="L167:L168"/>
    <mergeCell ref="M167:M168"/>
    <mergeCell ref="N167:N168"/>
    <mergeCell ref="C171:C172"/>
    <mergeCell ref="P171:P172"/>
    <mergeCell ref="V171:V172"/>
    <mergeCell ref="AB171:AB172"/>
    <mergeCell ref="AH171:AH172"/>
    <mergeCell ref="V165:V166"/>
    <mergeCell ref="AB165:AB166"/>
    <mergeCell ref="C169:C170"/>
    <mergeCell ref="P169:P170"/>
    <mergeCell ref="V169:V170"/>
    <mergeCell ref="B165:B170"/>
    <mergeCell ref="P173:P174"/>
    <mergeCell ref="AB169:AB170"/>
    <mergeCell ref="V173:V174"/>
    <mergeCell ref="AB173:AB174"/>
    <mergeCell ref="AH167:AH168"/>
    <mergeCell ref="C165:C166"/>
    <mergeCell ref="P165:P166"/>
    <mergeCell ref="AH169:AH170"/>
    <mergeCell ref="B171:B176"/>
    <mergeCell ref="AH173:AH174"/>
    <mergeCell ref="C175:C176"/>
    <mergeCell ref="P175:P176"/>
    <mergeCell ref="V175:V176"/>
    <mergeCell ref="AB175:AB176"/>
    <mergeCell ref="AH175:AH176"/>
    <mergeCell ref="D173:D174"/>
    <mergeCell ref="D175:D176"/>
    <mergeCell ref="C173:C174"/>
    <mergeCell ref="E173:E174"/>
    <mergeCell ref="G165:G166"/>
    <mergeCell ref="H165:H166"/>
    <mergeCell ref="C181:C182"/>
    <mergeCell ref="P181:P182"/>
    <mergeCell ref="V181:V182"/>
    <mergeCell ref="AH177:AH178"/>
    <mergeCell ref="C179:C180"/>
    <mergeCell ref="P179:P180"/>
    <mergeCell ref="V179:V180"/>
    <mergeCell ref="AB179:AB180"/>
    <mergeCell ref="P183:P184"/>
    <mergeCell ref="V183:V184"/>
    <mergeCell ref="AB183:AB184"/>
    <mergeCell ref="AH183:AH184"/>
    <mergeCell ref="C187:C188"/>
    <mergeCell ref="P187:P188"/>
    <mergeCell ref="V187:V188"/>
    <mergeCell ref="AB187:AB188"/>
    <mergeCell ref="AH187:AH188"/>
    <mergeCell ref="D185:D186"/>
    <mergeCell ref="P185:P186"/>
    <mergeCell ref="AB181:AB182"/>
    <mergeCell ref="V185:V186"/>
    <mergeCell ref="AB185:AB186"/>
    <mergeCell ref="AH185:AH186"/>
    <mergeCell ref="AH179:AH180"/>
    <mergeCell ref="C177:C178"/>
    <mergeCell ref="P177:P178"/>
    <mergeCell ref="AH181:AH182"/>
    <mergeCell ref="D187:D188"/>
    <mergeCell ref="E177:E178"/>
    <mergeCell ref="F177:F178"/>
    <mergeCell ref="J177:J178"/>
    <mergeCell ref="J179:J180"/>
    <mergeCell ref="A190:A193"/>
    <mergeCell ref="B190:C191"/>
    <mergeCell ref="P190:P191"/>
    <mergeCell ref="V190:V191"/>
    <mergeCell ref="AB190:AB191"/>
    <mergeCell ref="J190:J191"/>
    <mergeCell ref="J192:J193"/>
    <mergeCell ref="D190:D191"/>
    <mergeCell ref="E187:E188"/>
    <mergeCell ref="AH190:AH191"/>
    <mergeCell ref="B192:C193"/>
    <mergeCell ref="P192:P193"/>
    <mergeCell ref="V192:V193"/>
    <mergeCell ref="AB192:AB193"/>
    <mergeCell ref="AH192:AH193"/>
    <mergeCell ref="D192:D193"/>
    <mergeCell ref="K190:K191"/>
    <mergeCell ref="L190:L191"/>
    <mergeCell ref="M190:M191"/>
    <mergeCell ref="N190:N191"/>
    <mergeCell ref="K192:K193"/>
    <mergeCell ref="L192:L193"/>
    <mergeCell ref="M192:M193"/>
    <mergeCell ref="N192:N193"/>
    <mergeCell ref="Q192:Q193"/>
    <mergeCell ref="R192:R193"/>
    <mergeCell ref="S192:S193"/>
    <mergeCell ref="T192:T193"/>
    <mergeCell ref="Y187:Y188"/>
    <mergeCell ref="Z187:Z188"/>
    <mergeCell ref="W190:W191"/>
    <mergeCell ref="X190:X191"/>
    <mergeCell ref="A196:A211"/>
    <mergeCell ref="B196:C197"/>
    <mergeCell ref="J196:J197"/>
    <mergeCell ref="P196:P197"/>
    <mergeCell ref="V196:V197"/>
    <mergeCell ref="B200:C201"/>
    <mergeCell ref="P200:P201"/>
    <mergeCell ref="V200:V201"/>
    <mergeCell ref="J204:J205"/>
    <mergeCell ref="P204:P205"/>
    <mergeCell ref="AB196:AB197"/>
    <mergeCell ref="AH196:AH197"/>
    <mergeCell ref="B198:C199"/>
    <mergeCell ref="P198:P199"/>
    <mergeCell ref="V198:V199"/>
    <mergeCell ref="AB198:AB199"/>
    <mergeCell ref="AH198:AH199"/>
    <mergeCell ref="J198:J199"/>
    <mergeCell ref="D196:D197"/>
    <mergeCell ref="D198:D199"/>
    <mergeCell ref="AB200:AB201"/>
    <mergeCell ref="AH200:AH201"/>
    <mergeCell ref="B202:B207"/>
    <mergeCell ref="C202:C203"/>
    <mergeCell ref="J202:J203"/>
    <mergeCell ref="P202:P203"/>
    <mergeCell ref="V202:V203"/>
    <mergeCell ref="AB202:AB203"/>
    <mergeCell ref="AH202:AH203"/>
    <mergeCell ref="C204:C205"/>
    <mergeCell ref="V204:V205"/>
    <mergeCell ref="AB204:AB205"/>
    <mergeCell ref="AH204:AH205"/>
    <mergeCell ref="C206:C207"/>
    <mergeCell ref="J206:J207"/>
    <mergeCell ref="P206:P207"/>
    <mergeCell ref="V206:V207"/>
    <mergeCell ref="AB206:AB207"/>
    <mergeCell ref="AH206:AH207"/>
    <mergeCell ref="D204:D205"/>
    <mergeCell ref="P208:P209"/>
    <mergeCell ref="V208:V209"/>
    <mergeCell ref="AB208:AB209"/>
    <mergeCell ref="AH208:AH209"/>
    <mergeCell ref="B210:C211"/>
    <mergeCell ref="J210:J211"/>
    <mergeCell ref="P210:P211"/>
    <mergeCell ref="V210:V211"/>
    <mergeCell ref="AB210:AB211"/>
    <mergeCell ref="AH210:AH211"/>
    <mergeCell ref="E210:E211"/>
    <mergeCell ref="F210:F211"/>
    <mergeCell ref="G210:G211"/>
    <mergeCell ref="H210:H211"/>
    <mergeCell ref="K206:K207"/>
    <mergeCell ref="L206:L207"/>
    <mergeCell ref="M206:M207"/>
    <mergeCell ref="N206:N207"/>
    <mergeCell ref="K208:K209"/>
    <mergeCell ref="L208:L209"/>
    <mergeCell ref="M208:M209"/>
    <mergeCell ref="N208:N209"/>
    <mergeCell ref="K210:K211"/>
    <mergeCell ref="L210:L211"/>
    <mergeCell ref="B217:C218"/>
    <mergeCell ref="K213:K214"/>
    <mergeCell ref="E213:E214"/>
    <mergeCell ref="F213:F214"/>
    <mergeCell ref="G213:G214"/>
    <mergeCell ref="AB213:AB214"/>
    <mergeCell ref="AH213:AH214"/>
    <mergeCell ref="V215:V216"/>
    <mergeCell ref="AB215:AB216"/>
    <mergeCell ref="AH215:AH216"/>
    <mergeCell ref="P217:P218"/>
    <mergeCell ref="V217:V218"/>
    <mergeCell ref="AB217:AB218"/>
    <mergeCell ref="AH217:AH218"/>
    <mergeCell ref="Q213:Q214"/>
    <mergeCell ref="L213:L214"/>
    <mergeCell ref="M213:M214"/>
    <mergeCell ref="N213:N214"/>
    <mergeCell ref="O213:O214"/>
    <mergeCell ref="W213:W214"/>
    <mergeCell ref="X213:X214"/>
    <mergeCell ref="R213:R214"/>
    <mergeCell ref="S213:S214"/>
    <mergeCell ref="Y213:Y214"/>
    <mergeCell ref="Z213:Z214"/>
    <mergeCell ref="Y217:Y218"/>
    <mergeCell ref="Z217:Z218"/>
    <mergeCell ref="B215:C216"/>
    <mergeCell ref="K217:K218"/>
    <mergeCell ref="L217:L218"/>
    <mergeCell ref="M217:M218"/>
    <mergeCell ref="N217:N218"/>
    <mergeCell ref="Y222:Z222"/>
    <mergeCell ref="AE222:AF222"/>
    <mergeCell ref="A226:A235"/>
    <mergeCell ref="B226:C227"/>
    <mergeCell ref="B228:C229"/>
    <mergeCell ref="B230:C231"/>
    <mergeCell ref="B232:C233"/>
    <mergeCell ref="B234:C235"/>
    <mergeCell ref="A222:A223"/>
    <mergeCell ref="B222:B223"/>
    <mergeCell ref="S215:S216"/>
    <mergeCell ref="T215:T216"/>
    <mergeCell ref="Q217:Q218"/>
    <mergeCell ref="R217:R218"/>
    <mergeCell ref="S217:S218"/>
    <mergeCell ref="T217:T218"/>
    <mergeCell ref="W217:W218"/>
    <mergeCell ref="X217:X218"/>
    <mergeCell ref="W215:W216"/>
    <mergeCell ref="X215:X216"/>
    <mergeCell ref="Y215:Y216"/>
    <mergeCell ref="Z215:Z216"/>
    <mergeCell ref="A213:A218"/>
    <mergeCell ref="B213:C214"/>
    <mergeCell ref="J213:J214"/>
    <mergeCell ref="P213:P214"/>
    <mergeCell ref="V213:V214"/>
    <mergeCell ref="A237:A254"/>
    <mergeCell ref="B237:B242"/>
    <mergeCell ref="C251:C252"/>
    <mergeCell ref="C241:C242"/>
    <mergeCell ref="C247:C248"/>
    <mergeCell ref="P237:P238"/>
    <mergeCell ref="P241:P242"/>
    <mergeCell ref="P245:P246"/>
    <mergeCell ref="P253:P254"/>
    <mergeCell ref="D243:D244"/>
    <mergeCell ref="AB237:AB238"/>
    <mergeCell ref="AH237:AH238"/>
    <mergeCell ref="C239:C240"/>
    <mergeCell ref="P239:P240"/>
    <mergeCell ref="V239:V240"/>
    <mergeCell ref="AB239:AB240"/>
    <mergeCell ref="AH239:AH240"/>
    <mergeCell ref="D237:D238"/>
    <mergeCell ref="D239:D240"/>
    <mergeCell ref="E239:E240"/>
    <mergeCell ref="AH241:AH242"/>
    <mergeCell ref="B243:B248"/>
    <mergeCell ref="C243:C244"/>
    <mergeCell ref="P243:P244"/>
    <mergeCell ref="V243:V244"/>
    <mergeCell ref="AB243:AB244"/>
    <mergeCell ref="AH243:AH244"/>
    <mergeCell ref="C245:C246"/>
    <mergeCell ref="J243:J244"/>
    <mergeCell ref="J245:J246"/>
    <mergeCell ref="B249:B254"/>
    <mergeCell ref="C249:C250"/>
    <mergeCell ref="C253:C254"/>
    <mergeCell ref="AB253:AB254"/>
    <mergeCell ref="E249:E250"/>
    <mergeCell ref="F249:F250"/>
    <mergeCell ref="G249:G250"/>
    <mergeCell ref="AH253:AH254"/>
    <mergeCell ref="AH249:AH250"/>
    <mergeCell ref="P251:P252"/>
    <mergeCell ref="V251:V252"/>
    <mergeCell ref="AB251:AB252"/>
    <mergeCell ref="V245:V246"/>
    <mergeCell ref="AB245:AB246"/>
    <mergeCell ref="AH245:AH246"/>
    <mergeCell ref="AH247:AH248"/>
    <mergeCell ref="V253:V254"/>
    <mergeCell ref="P247:P248"/>
    <mergeCell ref="V247:V248"/>
    <mergeCell ref="AB247:AB248"/>
    <mergeCell ref="F245:F246"/>
    <mergeCell ref="G245:G246"/>
    <mergeCell ref="H245:H246"/>
    <mergeCell ref="E247:E248"/>
    <mergeCell ref="F247:F248"/>
    <mergeCell ref="G247:G248"/>
    <mergeCell ref="H247:H248"/>
    <mergeCell ref="H249:H250"/>
    <mergeCell ref="E251:E252"/>
    <mergeCell ref="F251:F252"/>
    <mergeCell ref="G251:G252"/>
    <mergeCell ref="D245:D246"/>
    <mergeCell ref="J253:J254"/>
    <mergeCell ref="D253:D254"/>
    <mergeCell ref="AH251:AH252"/>
    <mergeCell ref="D93:D94"/>
    <mergeCell ref="D102:D103"/>
    <mergeCell ref="D104:D105"/>
    <mergeCell ref="D106:D107"/>
    <mergeCell ref="D110:D111"/>
    <mergeCell ref="D112:D113"/>
    <mergeCell ref="D114:D115"/>
    <mergeCell ref="D241:D242"/>
    <mergeCell ref="B195:AH195"/>
    <mergeCell ref="D125:D126"/>
    <mergeCell ref="B194:AH194"/>
    <mergeCell ref="B152:AH152"/>
    <mergeCell ref="B124:AH124"/>
    <mergeCell ref="B108:AH108"/>
    <mergeCell ref="E110:E111"/>
    <mergeCell ref="F110:F111"/>
    <mergeCell ref="G110:G111"/>
    <mergeCell ref="H110:H111"/>
    <mergeCell ref="K93:K94"/>
    <mergeCell ref="L93:L94"/>
    <mergeCell ref="M93:M94"/>
    <mergeCell ref="N93:N94"/>
    <mergeCell ref="AC93:AC94"/>
    <mergeCell ref="P249:P250"/>
    <mergeCell ref="V249:V250"/>
    <mergeCell ref="AB249:AB250"/>
    <mergeCell ref="M222:N222"/>
    <mergeCell ref="S222:T222"/>
    <mergeCell ref="J215:J216"/>
    <mergeCell ref="P215:P216"/>
    <mergeCell ref="J217:J218"/>
    <mergeCell ref="U15:U16"/>
    <mergeCell ref="W15:W16"/>
    <mergeCell ref="X15:X16"/>
    <mergeCell ref="Y15:Y16"/>
    <mergeCell ref="Z15:Z16"/>
    <mergeCell ref="AA15:AA16"/>
    <mergeCell ref="AC15:AC16"/>
    <mergeCell ref="AD15:AD16"/>
    <mergeCell ref="AE15:AE16"/>
    <mergeCell ref="AF15:AF16"/>
    <mergeCell ref="V241:V242"/>
    <mergeCell ref="AB241:AB242"/>
    <mergeCell ref="V237:V238"/>
    <mergeCell ref="S237:S238"/>
    <mergeCell ref="T237:T238"/>
    <mergeCell ref="S239:S240"/>
    <mergeCell ref="T239:T240"/>
    <mergeCell ref="V177:V178"/>
    <mergeCell ref="AB177:AB178"/>
    <mergeCell ref="V146:V147"/>
    <mergeCell ref="AB146:AB147"/>
    <mergeCell ref="V150:V151"/>
    <mergeCell ref="AB150:AB151"/>
    <mergeCell ref="V148:V149"/>
    <mergeCell ref="AB148:AB149"/>
    <mergeCell ref="V133:V134"/>
    <mergeCell ref="AB133:AB134"/>
    <mergeCell ref="AB91:AB92"/>
    <mergeCell ref="AB54:AB55"/>
    <mergeCell ref="V40:V41"/>
    <mergeCell ref="AB40:AB41"/>
    <mergeCell ref="V21:V22"/>
    <mergeCell ref="D148:D149"/>
    <mergeCell ref="E83:E84"/>
    <mergeCell ref="F83:F84"/>
    <mergeCell ref="G83:G84"/>
    <mergeCell ref="H83:H84"/>
    <mergeCell ref="E15:E16"/>
    <mergeCell ref="F15:F16"/>
    <mergeCell ref="G15:G16"/>
    <mergeCell ref="H15:H16"/>
    <mergeCell ref="K15:K16"/>
    <mergeCell ref="L15:L16"/>
    <mergeCell ref="M15:M16"/>
    <mergeCell ref="N15:N16"/>
    <mergeCell ref="Q15:Q16"/>
    <mergeCell ref="R15:R16"/>
    <mergeCell ref="S15:S16"/>
    <mergeCell ref="T15:T16"/>
    <mergeCell ref="D131:D132"/>
    <mergeCell ref="L141:L142"/>
    <mergeCell ref="M141:M142"/>
    <mergeCell ref="N141:N142"/>
    <mergeCell ref="P146:P147"/>
    <mergeCell ref="P148:P149"/>
    <mergeCell ref="J146:J147"/>
    <mergeCell ref="J148:J149"/>
    <mergeCell ref="K148:K149"/>
    <mergeCell ref="L148:L149"/>
    <mergeCell ref="M148:M149"/>
    <mergeCell ref="N148:N149"/>
    <mergeCell ref="E146:E147"/>
    <mergeCell ref="F146:F147"/>
    <mergeCell ref="P133:P134"/>
    <mergeCell ref="L17:L18"/>
    <mergeCell ref="M17:M18"/>
    <mergeCell ref="N17:N18"/>
    <mergeCell ref="Q17:Q18"/>
    <mergeCell ref="R17:R18"/>
    <mergeCell ref="S17:S18"/>
    <mergeCell ref="T17:T18"/>
    <mergeCell ref="U17:U18"/>
    <mergeCell ref="W17:W18"/>
    <mergeCell ref="X17:X18"/>
    <mergeCell ref="Y17:Y18"/>
    <mergeCell ref="Z17:Z18"/>
    <mergeCell ref="B81:AH81"/>
    <mergeCell ref="B80:AH80"/>
    <mergeCell ref="D139:D140"/>
    <mergeCell ref="D141:D142"/>
    <mergeCell ref="D146:D147"/>
    <mergeCell ref="B143:B145"/>
    <mergeCell ref="B146:B151"/>
    <mergeCell ref="C146:C147"/>
    <mergeCell ref="C150:C151"/>
    <mergeCell ref="P150:P151"/>
    <mergeCell ref="AH146:AH147"/>
    <mergeCell ref="C148:C149"/>
    <mergeCell ref="AH148:AH149"/>
    <mergeCell ref="AH150:AH151"/>
    <mergeCell ref="K150:K151"/>
    <mergeCell ref="L150:L151"/>
    <mergeCell ref="M150:M151"/>
    <mergeCell ref="N150:N151"/>
    <mergeCell ref="AH133:AH134"/>
    <mergeCell ref="J131:J132"/>
    <mergeCell ref="AA17:AA18"/>
    <mergeCell ref="AC17:AC18"/>
    <mergeCell ref="AD17:AD18"/>
    <mergeCell ref="AE17:AE18"/>
    <mergeCell ref="AF17:AF18"/>
    <mergeCell ref="AG17:AG18"/>
    <mergeCell ref="E19:E20"/>
    <mergeCell ref="F19:F20"/>
    <mergeCell ref="G19:G20"/>
    <mergeCell ref="H19:H20"/>
    <mergeCell ref="K19:K20"/>
    <mergeCell ref="L19:L20"/>
    <mergeCell ref="I19:I20"/>
    <mergeCell ref="J19:J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E17:E18"/>
    <mergeCell ref="F17:F18"/>
    <mergeCell ref="G17:G18"/>
    <mergeCell ref="H17:H18"/>
    <mergeCell ref="K17:K18"/>
    <mergeCell ref="W21:W22"/>
    <mergeCell ref="X21:X22"/>
    <mergeCell ref="Y21:Y22"/>
    <mergeCell ref="Z21:Z22"/>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B23:AB24"/>
    <mergeCell ref="AE23:AE24"/>
    <mergeCell ref="Z27:Z28"/>
    <mergeCell ref="AF23:AF24"/>
    <mergeCell ref="AG23:AG24"/>
    <mergeCell ref="E25:E26"/>
    <mergeCell ref="F25:F26"/>
    <mergeCell ref="G25:G26"/>
    <mergeCell ref="H25:H26"/>
    <mergeCell ref="K25:K26"/>
    <mergeCell ref="L25:L26"/>
    <mergeCell ref="M25:M26"/>
    <mergeCell ref="N25:N26"/>
    <mergeCell ref="Q25:Q26"/>
    <mergeCell ref="R25:R26"/>
    <mergeCell ref="S25:S26"/>
    <mergeCell ref="T25:T26"/>
    <mergeCell ref="U25:U26"/>
    <mergeCell ref="Z25:Z26"/>
    <mergeCell ref="AA25:AA26"/>
    <mergeCell ref="AC25:AC26"/>
    <mergeCell ref="AD25:AD26"/>
    <mergeCell ref="AE25:AE26"/>
    <mergeCell ref="AF25:AF26"/>
    <mergeCell ref="AG25:AG26"/>
    <mergeCell ref="G29:G30"/>
    <mergeCell ref="H29:H30"/>
    <mergeCell ref="K29:K30"/>
    <mergeCell ref="L29:L30"/>
    <mergeCell ref="M29:M30"/>
    <mergeCell ref="N29:N30"/>
    <mergeCell ref="Q29:Q30"/>
    <mergeCell ref="R29:R30"/>
    <mergeCell ref="S29:S30"/>
    <mergeCell ref="T29:T30"/>
    <mergeCell ref="U29:U30"/>
    <mergeCell ref="W29:W30"/>
    <mergeCell ref="V29:V30"/>
    <mergeCell ref="X29:X30"/>
    <mergeCell ref="Y29:Y30"/>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I29:I30"/>
    <mergeCell ref="Z35:Z36"/>
    <mergeCell ref="AA35:AA36"/>
    <mergeCell ref="AC35:AC36"/>
    <mergeCell ref="AD35:AD36"/>
    <mergeCell ref="AE35:AE36"/>
    <mergeCell ref="AF35:AF36"/>
    <mergeCell ref="AG35:AG36"/>
    <mergeCell ref="AG29:AG30"/>
    <mergeCell ref="E31:E32"/>
    <mergeCell ref="F31:F32"/>
    <mergeCell ref="G31:G32"/>
    <mergeCell ref="H31:H32"/>
    <mergeCell ref="K31:K32"/>
    <mergeCell ref="L31:L32"/>
    <mergeCell ref="M31:M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E29:E30"/>
    <mergeCell ref="F29:F30"/>
    <mergeCell ref="Z37:Z38"/>
    <mergeCell ref="AA37:AA38"/>
    <mergeCell ref="AC37:AC38"/>
    <mergeCell ref="AD37:AD38"/>
    <mergeCell ref="AE37:AE38"/>
    <mergeCell ref="AF37:AF38"/>
    <mergeCell ref="AB37:AB38"/>
    <mergeCell ref="AG37:AG38"/>
    <mergeCell ref="Y33:Y34"/>
    <mergeCell ref="Z33:Z34"/>
    <mergeCell ref="AA33:AA34"/>
    <mergeCell ref="AC33:AC34"/>
    <mergeCell ref="AD33:AD34"/>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E44:E45"/>
    <mergeCell ref="F44:F45"/>
    <mergeCell ref="G44:G45"/>
    <mergeCell ref="H44:H45"/>
    <mergeCell ref="E46:E47"/>
    <mergeCell ref="F46:F47"/>
    <mergeCell ref="G46:G47"/>
    <mergeCell ref="H46:H47"/>
    <mergeCell ref="P37:P38"/>
    <mergeCell ref="O37:O38"/>
    <mergeCell ref="S37:S38"/>
    <mergeCell ref="T37:T38"/>
    <mergeCell ref="U37:U38"/>
    <mergeCell ref="W37:W38"/>
    <mergeCell ref="X37:X38"/>
    <mergeCell ref="Y37:Y38"/>
    <mergeCell ref="V37:V38"/>
    <mergeCell ref="I40:I41"/>
    <mergeCell ref="J40:J41"/>
    <mergeCell ref="P40:P41"/>
    <mergeCell ref="M48:M49"/>
    <mergeCell ref="N48:N49"/>
    <mergeCell ref="M50:M51"/>
    <mergeCell ref="N50:N51"/>
    <mergeCell ref="F52:F53"/>
    <mergeCell ref="G52:G53"/>
    <mergeCell ref="H52:H53"/>
    <mergeCell ref="E54:E55"/>
    <mergeCell ref="F54:F55"/>
    <mergeCell ref="G54:G55"/>
    <mergeCell ref="H54:H55"/>
    <mergeCell ref="E56:E57"/>
    <mergeCell ref="F56:F57"/>
    <mergeCell ref="G56:G57"/>
    <mergeCell ref="H56:H57"/>
    <mergeCell ref="K40:K41"/>
    <mergeCell ref="L40:L41"/>
    <mergeCell ref="K46:K47"/>
    <mergeCell ref="L46:L47"/>
    <mergeCell ref="K50:K51"/>
    <mergeCell ref="L50:L51"/>
    <mergeCell ref="K52:K53"/>
    <mergeCell ref="L52:L53"/>
    <mergeCell ref="E40:E41"/>
    <mergeCell ref="F40:F41"/>
    <mergeCell ref="G40:G41"/>
    <mergeCell ref="H40:H41"/>
    <mergeCell ref="E42:E43"/>
    <mergeCell ref="F42:F43"/>
    <mergeCell ref="G42:G43"/>
    <mergeCell ref="H42:H43"/>
    <mergeCell ref="M40:M41"/>
    <mergeCell ref="M52:M53"/>
    <mergeCell ref="N52:N53"/>
    <mergeCell ref="K54:K55"/>
    <mergeCell ref="L54:L55"/>
    <mergeCell ref="M54:M55"/>
    <mergeCell ref="N54:N55"/>
    <mergeCell ref="K56:K57"/>
    <mergeCell ref="L56:L57"/>
    <mergeCell ref="M56:M57"/>
    <mergeCell ref="N56:N57"/>
    <mergeCell ref="Q40:Q41"/>
    <mergeCell ref="Q42:Q43"/>
    <mergeCell ref="Q44:Q45"/>
    <mergeCell ref="Q46:Q47"/>
    <mergeCell ref="Q48:Q49"/>
    <mergeCell ref="Q50:Q51"/>
    <mergeCell ref="Q52:Q53"/>
    <mergeCell ref="Q54:Q55"/>
    <mergeCell ref="Q56:Q57"/>
    <mergeCell ref="N40:N41"/>
    <mergeCell ref="K42:K43"/>
    <mergeCell ref="L42:L43"/>
    <mergeCell ref="M42:M43"/>
    <mergeCell ref="N42:N43"/>
    <mergeCell ref="K44:K45"/>
    <mergeCell ref="L44:L45"/>
    <mergeCell ref="M44:M45"/>
    <mergeCell ref="N44:N45"/>
    <mergeCell ref="M46:M47"/>
    <mergeCell ref="N46:N47"/>
    <mergeCell ref="K48:K49"/>
    <mergeCell ref="L48:L49"/>
    <mergeCell ref="R40:R41"/>
    <mergeCell ref="R42:R43"/>
    <mergeCell ref="R44:R45"/>
    <mergeCell ref="R46:R47"/>
    <mergeCell ref="R48:R49"/>
    <mergeCell ref="R50:R51"/>
    <mergeCell ref="R52:R53"/>
    <mergeCell ref="R54:R55"/>
    <mergeCell ref="R56:R57"/>
    <mergeCell ref="S40:S41"/>
    <mergeCell ref="S42:S43"/>
    <mergeCell ref="S44:S45"/>
    <mergeCell ref="S46:S47"/>
    <mergeCell ref="S48:S49"/>
    <mergeCell ref="S50:S51"/>
    <mergeCell ref="S52:S53"/>
    <mergeCell ref="S54:S55"/>
    <mergeCell ref="T40:T41"/>
    <mergeCell ref="T42:T43"/>
    <mergeCell ref="T44:T45"/>
    <mergeCell ref="T46:T47"/>
    <mergeCell ref="T48:T49"/>
    <mergeCell ref="T50:T51"/>
    <mergeCell ref="T52:T53"/>
    <mergeCell ref="T54:T55"/>
    <mergeCell ref="T56:T57"/>
    <mergeCell ref="W40:W41"/>
    <mergeCell ref="W42:W43"/>
    <mergeCell ref="W44:W45"/>
    <mergeCell ref="W46:W47"/>
    <mergeCell ref="W48:W49"/>
    <mergeCell ref="W50:W51"/>
    <mergeCell ref="W52:W53"/>
    <mergeCell ref="W54:W55"/>
    <mergeCell ref="W56:W57"/>
    <mergeCell ref="X40:X41"/>
    <mergeCell ref="X42:X43"/>
    <mergeCell ref="X44:X45"/>
    <mergeCell ref="X46:X47"/>
    <mergeCell ref="X48:X49"/>
    <mergeCell ref="X50:X51"/>
    <mergeCell ref="X52:X53"/>
    <mergeCell ref="X54:X55"/>
    <mergeCell ref="Y40:Y41"/>
    <mergeCell ref="Y42:Y43"/>
    <mergeCell ref="Y44:Y45"/>
    <mergeCell ref="Y46:Y47"/>
    <mergeCell ref="Y48:Y49"/>
    <mergeCell ref="Y50:Y51"/>
    <mergeCell ref="Y52:Y53"/>
    <mergeCell ref="Y54:Y55"/>
    <mergeCell ref="Y56:Y57"/>
    <mergeCell ref="Z40:Z41"/>
    <mergeCell ref="Z42:Z43"/>
    <mergeCell ref="Z44:Z45"/>
    <mergeCell ref="Z46:Z47"/>
    <mergeCell ref="Z48:Z49"/>
    <mergeCell ref="Z50:Z51"/>
    <mergeCell ref="Z52:Z53"/>
    <mergeCell ref="Z54:Z55"/>
    <mergeCell ref="Z56:Z57"/>
    <mergeCell ref="AC40:AC41"/>
    <mergeCell ref="AC42:AC43"/>
    <mergeCell ref="AC44:AC45"/>
    <mergeCell ref="AC46:AC47"/>
    <mergeCell ref="AC48:AC49"/>
    <mergeCell ref="AC50:AC51"/>
    <mergeCell ref="AC52:AC53"/>
    <mergeCell ref="AC54:AC55"/>
    <mergeCell ref="AD40:AD41"/>
    <mergeCell ref="AD42:AD43"/>
    <mergeCell ref="AD44:AD45"/>
    <mergeCell ref="AD46:AD47"/>
    <mergeCell ref="AD48:AD49"/>
    <mergeCell ref="AD50:AD51"/>
    <mergeCell ref="AD52:AD53"/>
    <mergeCell ref="AD54:AD55"/>
    <mergeCell ref="AD56:AD57"/>
    <mergeCell ref="AE40:AE41"/>
    <mergeCell ref="AE42:AE43"/>
    <mergeCell ref="AE44:AE45"/>
    <mergeCell ref="AE46:AE47"/>
    <mergeCell ref="AE48:AE49"/>
    <mergeCell ref="AE50:AE51"/>
    <mergeCell ref="AE52:AE53"/>
    <mergeCell ref="AE54:AE55"/>
    <mergeCell ref="AE56:AE57"/>
    <mergeCell ref="AF40:AF41"/>
    <mergeCell ref="AF42:AF43"/>
    <mergeCell ref="AF44:AF45"/>
    <mergeCell ref="AF46:AF47"/>
    <mergeCell ref="AF48:AF49"/>
    <mergeCell ref="AF50:AF51"/>
    <mergeCell ref="AF52:AF53"/>
    <mergeCell ref="AF54:AF55"/>
    <mergeCell ref="E59:E60"/>
    <mergeCell ref="F59:F60"/>
    <mergeCell ref="G59:G60"/>
    <mergeCell ref="H59:H60"/>
    <mergeCell ref="E61:E62"/>
    <mergeCell ref="F61:F62"/>
    <mergeCell ref="G61:G62"/>
    <mergeCell ref="H61:H62"/>
    <mergeCell ref="E63:E64"/>
    <mergeCell ref="F63:F64"/>
    <mergeCell ref="G63:G64"/>
    <mergeCell ref="H63:H64"/>
    <mergeCell ref="Q59:Q60"/>
    <mergeCell ref="R59:R60"/>
    <mergeCell ref="Q63:Q64"/>
    <mergeCell ref="R63:R64"/>
    <mergeCell ref="W59:W60"/>
    <mergeCell ref="X59:X60"/>
    <mergeCell ref="W63:W64"/>
    <mergeCell ref="X63:X64"/>
    <mergeCell ref="AC59:AC60"/>
    <mergeCell ref="AD59:AD60"/>
    <mergeCell ref="AC63:AC64"/>
    <mergeCell ref="AD63:AD64"/>
    <mergeCell ref="H69:H70"/>
    <mergeCell ref="E71:E72"/>
    <mergeCell ref="F71:F72"/>
    <mergeCell ref="G71:G72"/>
    <mergeCell ref="H71:H72"/>
    <mergeCell ref="K59:K60"/>
    <mergeCell ref="L59:L60"/>
    <mergeCell ref="K63:K64"/>
    <mergeCell ref="L63:L64"/>
    <mergeCell ref="K67:K68"/>
    <mergeCell ref="L67:L68"/>
    <mergeCell ref="M59:M60"/>
    <mergeCell ref="N59:N60"/>
    <mergeCell ref="K61:K62"/>
    <mergeCell ref="L61:L62"/>
    <mergeCell ref="M61:M62"/>
    <mergeCell ref="N61:N62"/>
    <mergeCell ref="M63:M64"/>
    <mergeCell ref="N63:N64"/>
    <mergeCell ref="K65:K66"/>
    <mergeCell ref="L65:L66"/>
    <mergeCell ref="M65:M66"/>
    <mergeCell ref="N65:N66"/>
    <mergeCell ref="M67:M68"/>
    <mergeCell ref="N67:N68"/>
    <mergeCell ref="K69:K70"/>
    <mergeCell ref="L69:L70"/>
    <mergeCell ref="M69:M70"/>
    <mergeCell ref="N69:N70"/>
    <mergeCell ref="K71:K72"/>
    <mergeCell ref="L71:L72"/>
    <mergeCell ref="M71:M72"/>
    <mergeCell ref="Q67:Q68"/>
    <mergeCell ref="R67:R68"/>
    <mergeCell ref="S59:S60"/>
    <mergeCell ref="T59:T60"/>
    <mergeCell ref="Q61:Q62"/>
    <mergeCell ref="R61:R62"/>
    <mergeCell ref="S61:S62"/>
    <mergeCell ref="T61:T62"/>
    <mergeCell ref="S63:S64"/>
    <mergeCell ref="T63:T64"/>
    <mergeCell ref="Q65:Q66"/>
    <mergeCell ref="R65:R66"/>
    <mergeCell ref="S65:S66"/>
    <mergeCell ref="T65:T66"/>
    <mergeCell ref="S67:S68"/>
    <mergeCell ref="T67:T68"/>
    <mergeCell ref="Q69:Q70"/>
    <mergeCell ref="R69:R70"/>
    <mergeCell ref="S69:S70"/>
    <mergeCell ref="T69:T70"/>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F74:F75"/>
    <mergeCell ref="G74:G75"/>
    <mergeCell ref="H74:H75"/>
    <mergeCell ref="N74:N75"/>
    <mergeCell ref="W74:W75"/>
    <mergeCell ref="F78:F79"/>
    <mergeCell ref="G78:G79"/>
    <mergeCell ref="H78:H79"/>
    <mergeCell ref="K74:K75"/>
    <mergeCell ref="L74:L75"/>
    <mergeCell ref="M74:M75"/>
    <mergeCell ref="K78:K79"/>
    <mergeCell ref="L78:L79"/>
    <mergeCell ref="M78:M79"/>
    <mergeCell ref="N78:N79"/>
    <mergeCell ref="Q74:Q75"/>
    <mergeCell ref="R74:R75"/>
    <mergeCell ref="S74:S75"/>
    <mergeCell ref="T74:T75"/>
    <mergeCell ref="Q78:Q79"/>
    <mergeCell ref="R78:R79"/>
    <mergeCell ref="S78:S79"/>
    <mergeCell ref="T78:T79"/>
    <mergeCell ref="P78:P79"/>
    <mergeCell ref="X74:X75"/>
    <mergeCell ref="Y74:Y75"/>
    <mergeCell ref="Z74:Z75"/>
    <mergeCell ref="W78:W79"/>
    <mergeCell ref="X78:X79"/>
    <mergeCell ref="Y78:Y79"/>
    <mergeCell ref="Z78:Z79"/>
    <mergeCell ref="AC74:AC75"/>
    <mergeCell ref="AD74:AD75"/>
    <mergeCell ref="AE74:AE75"/>
    <mergeCell ref="AF74:AF75"/>
    <mergeCell ref="AC78:AC79"/>
    <mergeCell ref="AD78:AD79"/>
    <mergeCell ref="AE78:AE79"/>
    <mergeCell ref="AF78:AF79"/>
    <mergeCell ref="E85:E86"/>
    <mergeCell ref="F85:F86"/>
    <mergeCell ref="G85:G86"/>
    <mergeCell ref="H85:H86"/>
    <mergeCell ref="Q83:Q84"/>
    <mergeCell ref="R83:R84"/>
    <mergeCell ref="S83:S84"/>
    <mergeCell ref="T83:T84"/>
    <mergeCell ref="Q85:Q86"/>
    <mergeCell ref="R85:R86"/>
    <mergeCell ref="S85:S86"/>
    <mergeCell ref="T85:T86"/>
    <mergeCell ref="Y83:Y84"/>
    <mergeCell ref="Z83:Z84"/>
    <mergeCell ref="Y85:Y86"/>
    <mergeCell ref="Z85:Z86"/>
    <mergeCell ref="E74:E75"/>
    <mergeCell ref="E87:E88"/>
    <mergeCell ref="F87:F88"/>
    <mergeCell ref="G87:G88"/>
    <mergeCell ref="H87:H88"/>
    <mergeCell ref="E89:E90"/>
    <mergeCell ref="F89:F90"/>
    <mergeCell ref="G89:G90"/>
    <mergeCell ref="H89:H90"/>
    <mergeCell ref="E91:E92"/>
    <mergeCell ref="F91:F92"/>
    <mergeCell ref="G91:G92"/>
    <mergeCell ref="H91:H92"/>
    <mergeCell ref="H93:H94"/>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Q87:Q88"/>
    <mergeCell ref="R87:R88"/>
    <mergeCell ref="S87:S88"/>
    <mergeCell ref="T87:T88"/>
    <mergeCell ref="Q89:Q90"/>
    <mergeCell ref="R89:R90"/>
    <mergeCell ref="S89:S90"/>
    <mergeCell ref="T89:T90"/>
    <mergeCell ref="Q93:Q94"/>
    <mergeCell ref="R93:R94"/>
    <mergeCell ref="S93:S94"/>
    <mergeCell ref="T93:T94"/>
    <mergeCell ref="W83:W84"/>
    <mergeCell ref="X83:X84"/>
    <mergeCell ref="W87:W88"/>
    <mergeCell ref="X87:X88"/>
    <mergeCell ref="W91:W92"/>
    <mergeCell ref="X91:X92"/>
    <mergeCell ref="W85:W86"/>
    <mergeCell ref="X85:X86"/>
    <mergeCell ref="Y87:Y88"/>
    <mergeCell ref="Z87:Z88"/>
    <mergeCell ref="W89:W90"/>
    <mergeCell ref="X89:X90"/>
    <mergeCell ref="Y89:Y90"/>
    <mergeCell ref="Z89:Z90"/>
    <mergeCell ref="Y91:Y92"/>
    <mergeCell ref="Z91:Z92"/>
    <mergeCell ref="W93:W94"/>
    <mergeCell ref="X93:X94"/>
    <mergeCell ref="Y93:Y94"/>
    <mergeCell ref="Z93:Z94"/>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E93:AE94"/>
    <mergeCell ref="AF93:AF94"/>
    <mergeCell ref="G96:G97"/>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F104:F105"/>
    <mergeCell ref="G104:G105"/>
    <mergeCell ref="H104:H105"/>
    <mergeCell ref="K96:K97"/>
    <mergeCell ref="L96:L97"/>
    <mergeCell ref="M96:M97"/>
    <mergeCell ref="N96:N97"/>
    <mergeCell ref="K98:K99"/>
    <mergeCell ref="L98:L99"/>
    <mergeCell ref="M98:M99"/>
    <mergeCell ref="N98:N99"/>
    <mergeCell ref="K100:K101"/>
    <mergeCell ref="L100:L101"/>
    <mergeCell ref="M100:M101"/>
    <mergeCell ref="N100:N101"/>
    <mergeCell ref="K102:K103"/>
    <mergeCell ref="N106:N107"/>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Q106:Q107"/>
    <mergeCell ref="R106:R107"/>
    <mergeCell ref="S106:S107"/>
    <mergeCell ref="T106:T107"/>
    <mergeCell ref="Z96:Z9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L120:L121"/>
    <mergeCell ref="W106:W107"/>
    <mergeCell ref="X106:X107"/>
    <mergeCell ref="Y106:Y107"/>
    <mergeCell ref="Z106:Z107"/>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AC106:AC107"/>
    <mergeCell ref="AD106:AD107"/>
    <mergeCell ref="AE106:AE107"/>
    <mergeCell ref="AF106:AF107"/>
    <mergeCell ref="W96:W97"/>
    <mergeCell ref="X96:X97"/>
    <mergeCell ref="Y96:Y97"/>
    <mergeCell ref="R122:R123"/>
    <mergeCell ref="G118:G119"/>
    <mergeCell ref="H118:H119"/>
    <mergeCell ref="E120:E121"/>
    <mergeCell ref="F120:F121"/>
    <mergeCell ref="G120:G121"/>
    <mergeCell ref="H120:H121"/>
    <mergeCell ref="E122:E123"/>
    <mergeCell ref="F122:F123"/>
    <mergeCell ref="G122:G123"/>
    <mergeCell ref="H122:H123"/>
    <mergeCell ref="K110:K111"/>
    <mergeCell ref="L110:L111"/>
    <mergeCell ref="M110:M111"/>
    <mergeCell ref="N110:N111"/>
    <mergeCell ref="K112:K113"/>
    <mergeCell ref="L112:L113"/>
    <mergeCell ref="M112:M113"/>
    <mergeCell ref="N112:N113"/>
    <mergeCell ref="K114:K115"/>
    <mergeCell ref="L114:L115"/>
    <mergeCell ref="M114:M115"/>
    <mergeCell ref="N114:N115"/>
    <mergeCell ref="K116:K117"/>
    <mergeCell ref="L116:L117"/>
    <mergeCell ref="M116:M117"/>
    <mergeCell ref="N116:N117"/>
    <mergeCell ref="K118:K119"/>
    <mergeCell ref="L118:L119"/>
    <mergeCell ref="M118:M119"/>
    <mergeCell ref="N118:N119"/>
    <mergeCell ref="K120:K121"/>
    <mergeCell ref="Z122:Z123"/>
    <mergeCell ref="M120:M121"/>
    <mergeCell ref="N120:N121"/>
    <mergeCell ref="K122:K123"/>
    <mergeCell ref="L122:L123"/>
    <mergeCell ref="M122:M123"/>
    <mergeCell ref="N122:N123"/>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Q120:Q121"/>
    <mergeCell ref="R120:R121"/>
    <mergeCell ref="S120:S121"/>
    <mergeCell ref="T120:T121"/>
    <mergeCell ref="Q122:Q123"/>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J125:J126"/>
    <mergeCell ref="P125:P126"/>
    <mergeCell ref="V125:V126"/>
    <mergeCell ref="AB125:AB126"/>
    <mergeCell ref="R125:R126"/>
    <mergeCell ref="S125:S126"/>
    <mergeCell ref="AH125:AH126"/>
    <mergeCell ref="E125:E126"/>
    <mergeCell ref="E127:E128"/>
    <mergeCell ref="G125:G126"/>
    <mergeCell ref="G127:G128"/>
    <mergeCell ref="F125:F126"/>
    <mergeCell ref="F127:F128"/>
    <mergeCell ref="N125:N126"/>
    <mergeCell ref="N127:N128"/>
    <mergeCell ref="S122:S123"/>
    <mergeCell ref="T122:T123"/>
    <mergeCell ref="W120:W121"/>
    <mergeCell ref="X120:X121"/>
    <mergeCell ref="Y120:Y121"/>
    <mergeCell ref="Z120:Z121"/>
    <mergeCell ref="W122:W123"/>
    <mergeCell ref="X122:X123"/>
    <mergeCell ref="Y122:Y123"/>
    <mergeCell ref="F137:F138"/>
    <mergeCell ref="F139:F140"/>
    <mergeCell ref="G133:G134"/>
    <mergeCell ref="G135:G136"/>
    <mergeCell ref="G137:G138"/>
    <mergeCell ref="G139:G140"/>
    <mergeCell ref="H125:H126"/>
    <mergeCell ref="H127:H128"/>
    <mergeCell ref="H129:H130"/>
    <mergeCell ref="H131:H132"/>
    <mergeCell ref="H133:H134"/>
    <mergeCell ref="H135:H136"/>
    <mergeCell ref="H137:H138"/>
    <mergeCell ref="H139:H140"/>
    <mergeCell ref="K125:K126"/>
    <mergeCell ref="L125:L126"/>
    <mergeCell ref="M125:M126"/>
    <mergeCell ref="K127:K128"/>
    <mergeCell ref="L127:L128"/>
    <mergeCell ref="M127:M128"/>
    <mergeCell ref="K129:K130"/>
    <mergeCell ref="L129:L130"/>
    <mergeCell ref="M129:M130"/>
    <mergeCell ref="K139:K140"/>
    <mergeCell ref="L139:L140"/>
    <mergeCell ref="M139:M140"/>
    <mergeCell ref="J135:J136"/>
    <mergeCell ref="Q139:Q140"/>
    <mergeCell ref="R139:R140"/>
    <mergeCell ref="N129:N130"/>
    <mergeCell ref="K131:K132"/>
    <mergeCell ref="L131:L132"/>
    <mergeCell ref="M131:M132"/>
    <mergeCell ref="N131:N132"/>
    <mergeCell ref="K133:K134"/>
    <mergeCell ref="L133:L134"/>
    <mergeCell ref="M133:M134"/>
    <mergeCell ref="N133:N134"/>
    <mergeCell ref="K135:K136"/>
    <mergeCell ref="L135:L136"/>
    <mergeCell ref="M135:M136"/>
    <mergeCell ref="N135:N136"/>
    <mergeCell ref="K137:K138"/>
    <mergeCell ref="L137:L138"/>
    <mergeCell ref="M137:M138"/>
    <mergeCell ref="N137:N138"/>
    <mergeCell ref="P135:P136"/>
    <mergeCell ref="X137:X138"/>
    <mergeCell ref="Y137:Y138"/>
    <mergeCell ref="N139:N140"/>
    <mergeCell ref="E141:E142"/>
    <mergeCell ref="F141:F142"/>
    <mergeCell ref="G141:G142"/>
    <mergeCell ref="H141:H142"/>
    <mergeCell ref="I141:I142"/>
    <mergeCell ref="Q125:Q126"/>
    <mergeCell ref="Q131:Q132"/>
    <mergeCell ref="Q135:Q136"/>
    <mergeCell ref="Q137:Q138"/>
    <mergeCell ref="Q141:Q142"/>
    <mergeCell ref="T125:T126"/>
    <mergeCell ref="Q127:Q128"/>
    <mergeCell ref="R127:R128"/>
    <mergeCell ref="S127:S128"/>
    <mergeCell ref="T127:T128"/>
    <mergeCell ref="Q129:Q130"/>
    <mergeCell ref="R129:R130"/>
    <mergeCell ref="S129:S130"/>
    <mergeCell ref="T129:T130"/>
    <mergeCell ref="R131:R132"/>
    <mergeCell ref="S131:S132"/>
    <mergeCell ref="T131:T132"/>
    <mergeCell ref="Q133:Q134"/>
    <mergeCell ref="R133:R134"/>
    <mergeCell ref="S133:S134"/>
    <mergeCell ref="T133:T134"/>
    <mergeCell ref="R137:R138"/>
    <mergeCell ref="S137:S138"/>
    <mergeCell ref="T137:T138"/>
    <mergeCell ref="AD135:AD136"/>
    <mergeCell ref="AE135:AE136"/>
    <mergeCell ref="S139:S140"/>
    <mergeCell ref="T139:T140"/>
    <mergeCell ref="R141:R142"/>
    <mergeCell ref="S141:S142"/>
    <mergeCell ref="T141:T142"/>
    <mergeCell ref="W125:W126"/>
    <mergeCell ref="X125:X126"/>
    <mergeCell ref="Y125:Y126"/>
    <mergeCell ref="W131:W132"/>
    <mergeCell ref="X131:X132"/>
    <mergeCell ref="Y131:Y132"/>
    <mergeCell ref="W137:W138"/>
    <mergeCell ref="Z125:Z126"/>
    <mergeCell ref="W127:W128"/>
    <mergeCell ref="X127:X128"/>
    <mergeCell ref="Y127:Y128"/>
    <mergeCell ref="Z127:Z128"/>
    <mergeCell ref="W129:W130"/>
    <mergeCell ref="X129:X130"/>
    <mergeCell ref="Y129:Y130"/>
    <mergeCell ref="Z129:Z130"/>
    <mergeCell ref="Z131:Z132"/>
    <mergeCell ref="W133:W134"/>
    <mergeCell ref="X133:X134"/>
    <mergeCell ref="Y133:Y134"/>
    <mergeCell ref="Z133:Z134"/>
    <mergeCell ref="W135:W136"/>
    <mergeCell ref="X135:X136"/>
    <mergeCell ref="Y135:Y136"/>
    <mergeCell ref="Z135:Z136"/>
    <mergeCell ref="AC125:AC126"/>
    <mergeCell ref="AD125:AD126"/>
    <mergeCell ref="AC129:AC130"/>
    <mergeCell ref="AD129:AD130"/>
    <mergeCell ref="AC133:AC134"/>
    <mergeCell ref="AD133:AD134"/>
    <mergeCell ref="AE125:AE126"/>
    <mergeCell ref="AF125:AF126"/>
    <mergeCell ref="AC127:AC128"/>
    <mergeCell ref="AD127:AD128"/>
    <mergeCell ref="AE127:AE128"/>
    <mergeCell ref="AF127:AF128"/>
    <mergeCell ref="AE129:AE130"/>
    <mergeCell ref="AF129:AF130"/>
    <mergeCell ref="AC131:AC132"/>
    <mergeCell ref="AD131:AD132"/>
    <mergeCell ref="AE131:AE132"/>
    <mergeCell ref="AF131:AF132"/>
    <mergeCell ref="AE133:AE134"/>
    <mergeCell ref="AF133:AF134"/>
    <mergeCell ref="AF135:AF136"/>
    <mergeCell ref="AC137:AC138"/>
    <mergeCell ref="AD137:AD138"/>
    <mergeCell ref="AE137:AE138"/>
    <mergeCell ref="AF137:AF138"/>
    <mergeCell ref="AC139:AC140"/>
    <mergeCell ref="AD139:AD140"/>
    <mergeCell ref="AE139:AE140"/>
    <mergeCell ref="AF139:AF140"/>
    <mergeCell ref="AC141:AC142"/>
    <mergeCell ref="AD141:AD142"/>
    <mergeCell ref="AE141:AE142"/>
    <mergeCell ref="AF141:AF142"/>
    <mergeCell ref="K146:K147"/>
    <mergeCell ref="L146:L147"/>
    <mergeCell ref="M146:M147"/>
    <mergeCell ref="N146:N147"/>
    <mergeCell ref="Z146:Z147"/>
    <mergeCell ref="AD146:AD147"/>
    <mergeCell ref="W146:W147"/>
    <mergeCell ref="X146:X147"/>
    <mergeCell ref="Y146:Y147"/>
    <mergeCell ref="Z137:Z138"/>
    <mergeCell ref="W139:W140"/>
    <mergeCell ref="X139:X140"/>
    <mergeCell ref="Y139:Y140"/>
    <mergeCell ref="Z139:Z140"/>
    <mergeCell ref="W141:W142"/>
    <mergeCell ref="X141:X142"/>
    <mergeCell ref="Y141:Y142"/>
    <mergeCell ref="Z141:Z142"/>
    <mergeCell ref="AC135:AC136"/>
    <mergeCell ref="G146:G147"/>
    <mergeCell ref="H146:H147"/>
    <mergeCell ref="E148:E149"/>
    <mergeCell ref="F148:F149"/>
    <mergeCell ref="G148:G149"/>
    <mergeCell ref="H148:H149"/>
    <mergeCell ref="H150:H151"/>
    <mergeCell ref="Q146:Q147"/>
    <mergeCell ref="R146:R147"/>
    <mergeCell ref="S146:S147"/>
    <mergeCell ref="T146:T147"/>
    <mergeCell ref="Q148:Q149"/>
    <mergeCell ref="R148:R149"/>
    <mergeCell ref="S148:S149"/>
    <mergeCell ref="T148:T149"/>
    <mergeCell ref="Q150:Q151"/>
    <mergeCell ref="R150:R151"/>
    <mergeCell ref="S150:S151"/>
    <mergeCell ref="T150:T151"/>
    <mergeCell ref="J150:J151"/>
    <mergeCell ref="W148:W149"/>
    <mergeCell ref="X148:X149"/>
    <mergeCell ref="Y148:Y149"/>
    <mergeCell ref="Z148:Z149"/>
    <mergeCell ref="W150:W151"/>
    <mergeCell ref="X150:X151"/>
    <mergeCell ref="Y150:Y151"/>
    <mergeCell ref="Z150:Z151"/>
    <mergeCell ref="AC146:AC147"/>
    <mergeCell ref="AC150:AC151"/>
    <mergeCell ref="AE146:AE147"/>
    <mergeCell ref="AF146:AF147"/>
    <mergeCell ref="AC148:AC149"/>
    <mergeCell ref="AD148:AD149"/>
    <mergeCell ref="AE148:AE149"/>
    <mergeCell ref="AF148:AF149"/>
    <mergeCell ref="AD150:AD151"/>
    <mergeCell ref="AE150:AE151"/>
    <mergeCell ref="AF150:AF151"/>
    <mergeCell ref="E153:E154"/>
    <mergeCell ref="F153:F154"/>
    <mergeCell ref="G153:G154"/>
    <mergeCell ref="H153:H154"/>
    <mergeCell ref="N153:N154"/>
    <mergeCell ref="R153:R154"/>
    <mergeCell ref="S153:S154"/>
    <mergeCell ref="F155:F156"/>
    <mergeCell ref="G155:G156"/>
    <mergeCell ref="H155:H156"/>
    <mergeCell ref="E157:E158"/>
    <mergeCell ref="F157:F158"/>
    <mergeCell ref="G157:G158"/>
    <mergeCell ref="H157:H158"/>
    <mergeCell ref="H159:H160"/>
    <mergeCell ref="E161:E162"/>
    <mergeCell ref="F161:F162"/>
    <mergeCell ref="G161:G162"/>
    <mergeCell ref="H161:H162"/>
    <mergeCell ref="Q153:Q154"/>
    <mergeCell ref="Q159:Q160"/>
    <mergeCell ref="J153:J154"/>
    <mergeCell ref="H183:H184"/>
    <mergeCell ref="E185:E186"/>
    <mergeCell ref="F185:F186"/>
    <mergeCell ref="G185:G186"/>
    <mergeCell ref="H185:H186"/>
    <mergeCell ref="F187:F188"/>
    <mergeCell ref="G187:G188"/>
    <mergeCell ref="H187:H188"/>
    <mergeCell ref="K153:K154"/>
    <mergeCell ref="L153:L154"/>
    <mergeCell ref="M153:M154"/>
    <mergeCell ref="K155:K156"/>
    <mergeCell ref="L155:L156"/>
    <mergeCell ref="M155:M156"/>
    <mergeCell ref="K161:K162"/>
    <mergeCell ref="N155:N156"/>
    <mergeCell ref="K157:K158"/>
    <mergeCell ref="L157:L158"/>
    <mergeCell ref="M157:M158"/>
    <mergeCell ref="N157:N158"/>
    <mergeCell ref="K159:K160"/>
    <mergeCell ref="L159:L160"/>
    <mergeCell ref="M159:M160"/>
    <mergeCell ref="N159:N160"/>
    <mergeCell ref="L161:L162"/>
    <mergeCell ref="M161:M162"/>
    <mergeCell ref="N161:N162"/>
    <mergeCell ref="K163:K164"/>
    <mergeCell ref="L163:L164"/>
    <mergeCell ref="M163:M164"/>
    <mergeCell ref="N163:N164"/>
    <mergeCell ref="K165:K166"/>
    <mergeCell ref="K169:K170"/>
    <mergeCell ref="L169:L170"/>
    <mergeCell ref="M169:M170"/>
    <mergeCell ref="N169:N170"/>
    <mergeCell ref="K171:K172"/>
    <mergeCell ref="L171:L172"/>
    <mergeCell ref="M171:M172"/>
    <mergeCell ref="N171:N172"/>
    <mergeCell ref="K173:K174"/>
    <mergeCell ref="L173:L174"/>
    <mergeCell ref="M173:M174"/>
    <mergeCell ref="N173:N174"/>
    <mergeCell ref="K175:K176"/>
    <mergeCell ref="L175:L176"/>
    <mergeCell ref="M175:M176"/>
    <mergeCell ref="N175:N176"/>
    <mergeCell ref="K177:K178"/>
    <mergeCell ref="L177:L178"/>
    <mergeCell ref="M177:M178"/>
    <mergeCell ref="N177:N178"/>
    <mergeCell ref="K179:K180"/>
    <mergeCell ref="L179:L180"/>
    <mergeCell ref="M179:M180"/>
    <mergeCell ref="N179:N180"/>
    <mergeCell ref="K181:K182"/>
    <mergeCell ref="L181:L182"/>
    <mergeCell ref="M181:M182"/>
    <mergeCell ref="N181:N182"/>
    <mergeCell ref="K183:K184"/>
    <mergeCell ref="L183:L184"/>
    <mergeCell ref="M183:M184"/>
    <mergeCell ref="N183:N184"/>
    <mergeCell ref="K185:K186"/>
    <mergeCell ref="L185:L186"/>
    <mergeCell ref="M185:M186"/>
    <mergeCell ref="N185:N186"/>
    <mergeCell ref="K187:K188"/>
    <mergeCell ref="L187:L188"/>
    <mergeCell ref="M187:M188"/>
    <mergeCell ref="N187:N188"/>
    <mergeCell ref="Q163:Q164"/>
    <mergeCell ref="Q167:Q168"/>
    <mergeCell ref="Q171:Q172"/>
    <mergeCell ref="T153:T154"/>
    <mergeCell ref="Q155:Q156"/>
    <mergeCell ref="R155:R156"/>
    <mergeCell ref="S155:S156"/>
    <mergeCell ref="T155:T156"/>
    <mergeCell ref="Q157:Q158"/>
    <mergeCell ref="R157:R158"/>
    <mergeCell ref="S157:S158"/>
    <mergeCell ref="T157:T158"/>
    <mergeCell ref="R159:R160"/>
    <mergeCell ref="S159:S160"/>
    <mergeCell ref="T159:T160"/>
    <mergeCell ref="Q161:Q162"/>
    <mergeCell ref="R161:R162"/>
    <mergeCell ref="S161:S162"/>
    <mergeCell ref="T161:T162"/>
    <mergeCell ref="R163:R164"/>
    <mergeCell ref="S163:S164"/>
    <mergeCell ref="T163:T164"/>
    <mergeCell ref="Q165:Q166"/>
    <mergeCell ref="R165:R166"/>
    <mergeCell ref="S165:S166"/>
    <mergeCell ref="T165:T166"/>
    <mergeCell ref="R167:R168"/>
    <mergeCell ref="S167:S168"/>
    <mergeCell ref="T167:T168"/>
    <mergeCell ref="Q169:Q170"/>
    <mergeCell ref="R169:R170"/>
    <mergeCell ref="S169:S170"/>
    <mergeCell ref="T169:T170"/>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Q190:Q191"/>
    <mergeCell ref="R190:R191"/>
    <mergeCell ref="S190:S191"/>
    <mergeCell ref="T190:T191"/>
    <mergeCell ref="B189:AH189"/>
    <mergeCell ref="E190:E191"/>
    <mergeCell ref="W183:W184"/>
    <mergeCell ref="X183:X184"/>
    <mergeCell ref="Y183:Y184"/>
    <mergeCell ref="Z183:Z184"/>
    <mergeCell ref="W185:W186"/>
    <mergeCell ref="X185:X186"/>
    <mergeCell ref="Y185:Y186"/>
    <mergeCell ref="Z185:Z186"/>
    <mergeCell ref="W187:W188"/>
    <mergeCell ref="X187:X188"/>
    <mergeCell ref="W153:W154"/>
    <mergeCell ref="X153:X154"/>
    <mergeCell ref="W157:W158"/>
    <mergeCell ref="X157:X158"/>
    <mergeCell ref="W161:W162"/>
    <mergeCell ref="X161:X162"/>
    <mergeCell ref="Y153:Y154"/>
    <mergeCell ref="Z153:Z154"/>
    <mergeCell ref="W155:W156"/>
    <mergeCell ref="X155:X156"/>
    <mergeCell ref="Y155:Y156"/>
    <mergeCell ref="Z155:Z156"/>
    <mergeCell ref="Y157:Y158"/>
    <mergeCell ref="Z157:Z158"/>
    <mergeCell ref="W159:W160"/>
    <mergeCell ref="X159:X160"/>
    <mergeCell ref="Y159:Y160"/>
    <mergeCell ref="Z159:Z160"/>
    <mergeCell ref="Y161:Y162"/>
    <mergeCell ref="Z161:Z162"/>
    <mergeCell ref="W179:W180"/>
    <mergeCell ref="X179:X180"/>
    <mergeCell ref="Y179:Y180"/>
    <mergeCell ref="Z179:Z180"/>
    <mergeCell ref="W181:W182"/>
    <mergeCell ref="X181:X182"/>
    <mergeCell ref="Y181:Y182"/>
    <mergeCell ref="Z181:Z18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AC163:AC164"/>
    <mergeCell ref="AD163:AD164"/>
    <mergeCell ref="AE163:AE164"/>
    <mergeCell ref="AF163:AF164"/>
    <mergeCell ref="AC165:AC166"/>
    <mergeCell ref="AD165:AD166"/>
    <mergeCell ref="W173:W174"/>
    <mergeCell ref="X173:X174"/>
    <mergeCell ref="Y173:Y174"/>
    <mergeCell ref="Z173:Z174"/>
    <mergeCell ref="W175:W176"/>
    <mergeCell ref="X175:X176"/>
    <mergeCell ref="Y175:Y176"/>
    <mergeCell ref="Z175:Z176"/>
    <mergeCell ref="W177:W178"/>
    <mergeCell ref="X177:X178"/>
    <mergeCell ref="Y177:Y178"/>
    <mergeCell ref="Z177:Z17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AC190:AC191"/>
    <mergeCell ref="AD190:AD191"/>
    <mergeCell ref="AE190:AE191"/>
    <mergeCell ref="AF190:AF191"/>
    <mergeCell ref="AC192:AC193"/>
    <mergeCell ref="AD192:AD193"/>
    <mergeCell ref="AE192:AE193"/>
    <mergeCell ref="AF192:AF193"/>
    <mergeCell ref="F190:F191"/>
    <mergeCell ref="G190:G191"/>
    <mergeCell ref="H190:H191"/>
    <mergeCell ref="Y190:Y191"/>
    <mergeCell ref="Z190:Z191"/>
    <mergeCell ref="W192:W193"/>
    <mergeCell ref="X192:X193"/>
    <mergeCell ref="Y192:Y193"/>
    <mergeCell ref="Z192:Z193"/>
    <mergeCell ref="E192:E193"/>
    <mergeCell ref="F192:F193"/>
    <mergeCell ref="G192:G193"/>
    <mergeCell ref="H192:H193"/>
    <mergeCell ref="B212:AH212"/>
    <mergeCell ref="E196:E197"/>
    <mergeCell ref="F196:F197"/>
    <mergeCell ref="G196:G197"/>
    <mergeCell ref="H196:H197"/>
    <mergeCell ref="E198:E199"/>
    <mergeCell ref="F198:F199"/>
    <mergeCell ref="G198:G199"/>
    <mergeCell ref="H198:H199"/>
    <mergeCell ref="E200:E201"/>
    <mergeCell ref="G200:G201"/>
    <mergeCell ref="H200:H201"/>
    <mergeCell ref="E202:E203"/>
    <mergeCell ref="F202:F203"/>
    <mergeCell ref="G202:G203"/>
    <mergeCell ref="H202:H203"/>
    <mergeCell ref="E204:E205"/>
    <mergeCell ref="F204:F205"/>
    <mergeCell ref="G204:G205"/>
    <mergeCell ref="H204:H205"/>
    <mergeCell ref="E206:E207"/>
    <mergeCell ref="F206:F207"/>
    <mergeCell ref="G206:G207"/>
    <mergeCell ref="H206:H207"/>
    <mergeCell ref="E208:E209"/>
    <mergeCell ref="F208:F209"/>
    <mergeCell ref="G208:G209"/>
    <mergeCell ref="H208:H209"/>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Y206:Y207"/>
    <mergeCell ref="Z206:Z207"/>
    <mergeCell ref="W200:W201"/>
    <mergeCell ref="X200:X201"/>
    <mergeCell ref="Y200:Y201"/>
    <mergeCell ref="Z200:Z201"/>
    <mergeCell ref="W202:W203"/>
    <mergeCell ref="X202:X203"/>
    <mergeCell ref="Y202:Y203"/>
    <mergeCell ref="Z202:Z203"/>
    <mergeCell ref="W210:W211"/>
    <mergeCell ref="X210:X211"/>
    <mergeCell ref="Y210:Y211"/>
    <mergeCell ref="Z210:Z211"/>
    <mergeCell ref="W204:W205"/>
    <mergeCell ref="X204:X205"/>
    <mergeCell ref="Y204:Y205"/>
    <mergeCell ref="Z204:Z205"/>
    <mergeCell ref="W206:W207"/>
    <mergeCell ref="X206:X207"/>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E208:AE209"/>
    <mergeCell ref="AF208:AF209"/>
    <mergeCell ref="AC210:AC211"/>
    <mergeCell ref="AD210:AD211"/>
    <mergeCell ref="AE210:AE211"/>
    <mergeCell ref="AF210:AF211"/>
    <mergeCell ref="E217:E218"/>
    <mergeCell ref="F217:F218"/>
    <mergeCell ref="G217:G218"/>
    <mergeCell ref="H217:H218"/>
    <mergeCell ref="AC208:AC209"/>
    <mergeCell ref="AD208:AD209"/>
    <mergeCell ref="W208:W209"/>
    <mergeCell ref="X208:X209"/>
    <mergeCell ref="Y208:Y209"/>
    <mergeCell ref="Z208:Z209"/>
    <mergeCell ref="K215:K216"/>
    <mergeCell ref="L215:L216"/>
    <mergeCell ref="M215:M216"/>
    <mergeCell ref="N215:N216"/>
    <mergeCell ref="H213:H214"/>
    <mergeCell ref="E215:E216"/>
    <mergeCell ref="F215:F216"/>
    <mergeCell ref="G215:G216"/>
    <mergeCell ref="H215:H216"/>
    <mergeCell ref="T213:T214"/>
    <mergeCell ref="Q215:Q216"/>
    <mergeCell ref="R215:R216"/>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E237:E238"/>
    <mergeCell ref="F237:F238"/>
    <mergeCell ref="G237:G238"/>
    <mergeCell ref="H237:H238"/>
    <mergeCell ref="K237:K238"/>
    <mergeCell ref="L237:L238"/>
    <mergeCell ref="H253:H254"/>
    <mergeCell ref="M237:M238"/>
    <mergeCell ref="N237:N238"/>
    <mergeCell ref="K239:K240"/>
    <mergeCell ref="L239:L240"/>
    <mergeCell ref="M239:M240"/>
    <mergeCell ref="N239:N240"/>
    <mergeCell ref="K241:K242"/>
    <mergeCell ref="L241:L242"/>
    <mergeCell ref="M241:M242"/>
    <mergeCell ref="N241:N242"/>
    <mergeCell ref="K243:K244"/>
    <mergeCell ref="L243:L244"/>
    <mergeCell ref="M243:M244"/>
    <mergeCell ref="N243:N244"/>
    <mergeCell ref="K245:K246"/>
    <mergeCell ref="L245:L246"/>
    <mergeCell ref="M245:M246"/>
    <mergeCell ref="N245:N246"/>
    <mergeCell ref="K247:K248"/>
    <mergeCell ref="L247:L248"/>
    <mergeCell ref="M247:M248"/>
    <mergeCell ref="N247:N248"/>
    <mergeCell ref="K249:K250"/>
    <mergeCell ref="L249:L250"/>
    <mergeCell ref="M249:M250"/>
    <mergeCell ref="N249:N250"/>
    <mergeCell ref="K251:K252"/>
    <mergeCell ref="L251:L252"/>
    <mergeCell ref="M251:M252"/>
    <mergeCell ref="N251:N252"/>
    <mergeCell ref="K253:K254"/>
    <mergeCell ref="L253:L254"/>
    <mergeCell ref="M253:M254"/>
    <mergeCell ref="N253:N254"/>
    <mergeCell ref="Q237:Q238"/>
    <mergeCell ref="R237:R238"/>
    <mergeCell ref="Q239:Q240"/>
    <mergeCell ref="R239:R240"/>
    <mergeCell ref="Q241:Q242"/>
    <mergeCell ref="R241:R242"/>
    <mergeCell ref="S241:S242"/>
    <mergeCell ref="T241:T242"/>
    <mergeCell ref="Q243:Q244"/>
    <mergeCell ref="R243:R244"/>
    <mergeCell ref="S243:S244"/>
    <mergeCell ref="T243:T244"/>
    <mergeCell ref="Q245:Q246"/>
    <mergeCell ref="R245:R246"/>
    <mergeCell ref="S245:S246"/>
    <mergeCell ref="T245:T246"/>
    <mergeCell ref="Q247:Q248"/>
    <mergeCell ref="R247:R248"/>
    <mergeCell ref="S247:S248"/>
    <mergeCell ref="T247:T248"/>
    <mergeCell ref="Q249:Q250"/>
    <mergeCell ref="R249:R250"/>
    <mergeCell ref="S249:S250"/>
    <mergeCell ref="T249:T250"/>
    <mergeCell ref="Q251:Q252"/>
    <mergeCell ref="R251:R252"/>
    <mergeCell ref="S251:S252"/>
    <mergeCell ref="T251:T252"/>
    <mergeCell ref="Q253:Q254"/>
    <mergeCell ref="R253:R254"/>
    <mergeCell ref="S253:S254"/>
    <mergeCell ref="T253:T254"/>
    <mergeCell ref="W237:W238"/>
    <mergeCell ref="X237:X238"/>
    <mergeCell ref="W241:W242"/>
    <mergeCell ref="X241:X242"/>
    <mergeCell ref="W245:W246"/>
    <mergeCell ref="X245:X246"/>
    <mergeCell ref="Y237:Y238"/>
    <mergeCell ref="Z237:Z238"/>
    <mergeCell ref="W239:W240"/>
    <mergeCell ref="X239:X240"/>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W249:W250"/>
    <mergeCell ref="X249:X250"/>
    <mergeCell ref="Y249:Y250"/>
    <mergeCell ref="Z249:Z250"/>
    <mergeCell ref="W251:W252"/>
    <mergeCell ref="AC237:AC238"/>
    <mergeCell ref="AD237:AD238"/>
    <mergeCell ref="AC241:AC242"/>
    <mergeCell ref="AD241:AD242"/>
    <mergeCell ref="AC245:AC246"/>
    <mergeCell ref="AD245:AD246"/>
    <mergeCell ref="AE237:AE238"/>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45:AE246"/>
    <mergeCell ref="AF245:AF246"/>
    <mergeCell ref="AF247:AF248"/>
    <mergeCell ref="AC253:AC254"/>
    <mergeCell ref="AD253:AD254"/>
    <mergeCell ref="AE253:AE254"/>
    <mergeCell ref="AF253:AF254"/>
    <mergeCell ref="AC249:AC250"/>
    <mergeCell ref="AD249:AD250"/>
    <mergeCell ref="AE249:AE250"/>
    <mergeCell ref="AF249:AF250"/>
    <mergeCell ref="AC251:AC252"/>
    <mergeCell ref="AD251:AD252"/>
    <mergeCell ref="X251:X252"/>
    <mergeCell ref="Y251:Y252"/>
    <mergeCell ref="Z251:Z252"/>
    <mergeCell ref="W253:W254"/>
    <mergeCell ref="X253:X254"/>
    <mergeCell ref="Y253:Y254"/>
    <mergeCell ref="Z253:Z254"/>
    <mergeCell ref="AE251:AE252"/>
    <mergeCell ref="AF251:AF252"/>
    <mergeCell ref="AC247:AC248"/>
    <mergeCell ref="AD247:AD248"/>
    <mergeCell ref="AE247:AE248"/>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27ACE-6CB3-4D3F-9B80-BEF24490FF1D}">
  <dimension ref="A1:AN256"/>
  <sheetViews>
    <sheetView zoomScaleNormal="100" workbookViewId="0">
      <selection activeCell="A8" sqref="A8:V8"/>
    </sheetView>
  </sheetViews>
  <sheetFormatPr defaultRowHeight="10.199999999999999" x14ac:dyDescent="0.2"/>
  <cols>
    <col min="1" max="1" width="3" style="11" customWidth="1"/>
    <col min="2" max="2" width="22.109375" style="11" customWidth="1"/>
    <col min="3" max="3" width="6.44140625" style="11" customWidth="1"/>
    <col min="4" max="4" width="3.44140625" style="11" customWidth="1"/>
    <col min="5" max="9" width="4.77734375" style="11" customWidth="1"/>
    <col min="10" max="10" width="6" style="11" customWidth="1"/>
    <col min="11" max="34" width="4.77734375" style="11" customWidth="1"/>
    <col min="35" max="16384" width="8.88671875" style="11"/>
  </cols>
  <sheetData>
    <row r="1" spans="1:40" x14ac:dyDescent="0.2">
      <c r="A1" s="165"/>
      <c r="B1" s="165"/>
      <c r="C1" s="165"/>
      <c r="D1" s="9"/>
      <c r="E1" s="2"/>
      <c r="F1" s="2"/>
      <c r="G1" s="2"/>
      <c r="H1" s="2"/>
      <c r="I1" s="2"/>
      <c r="J1" s="165"/>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x14ac:dyDescent="0.2">
      <c r="A2" s="485" t="s">
        <v>51</v>
      </c>
      <c r="B2" s="485"/>
      <c r="C2" s="485"/>
      <c r="D2" s="269"/>
      <c r="E2" s="269"/>
      <c r="F2" s="269"/>
      <c r="G2" s="269"/>
      <c r="H2" s="269"/>
      <c r="I2" s="269"/>
      <c r="J2" s="269"/>
      <c r="K2" s="326"/>
      <c r="L2" s="326"/>
      <c r="M2" s="326"/>
      <c r="N2" s="326"/>
      <c r="O2" s="326"/>
      <c r="P2" s="2"/>
      <c r="Q2" s="2"/>
      <c r="R2" s="2"/>
      <c r="S2" s="2"/>
      <c r="T2" s="2"/>
      <c r="U2" s="2"/>
      <c r="V2" s="2"/>
      <c r="W2" s="2"/>
      <c r="X2" s="2"/>
      <c r="Y2" s="2"/>
      <c r="Z2" s="2"/>
      <c r="AA2" s="2"/>
      <c r="AB2" s="2"/>
      <c r="AC2" s="2"/>
      <c r="AD2" s="2"/>
      <c r="AE2" s="2"/>
      <c r="AF2" s="2"/>
      <c r="AG2" s="2"/>
      <c r="AH2" s="2"/>
      <c r="AI2" s="2"/>
      <c r="AJ2" s="2"/>
      <c r="AK2" s="2"/>
      <c r="AL2" s="2"/>
      <c r="AM2" s="2"/>
      <c r="AN2" s="2"/>
    </row>
    <row r="3" spans="1:40" x14ac:dyDescent="0.2">
      <c r="A3" s="485" t="s">
        <v>50</v>
      </c>
      <c r="B3" s="485"/>
      <c r="C3" s="485"/>
      <c r="D3" s="269"/>
      <c r="E3" s="269"/>
      <c r="F3" s="269"/>
      <c r="G3" s="269"/>
      <c r="H3" s="269"/>
      <c r="I3" s="326"/>
      <c r="J3" s="326"/>
      <c r="K3" s="326"/>
      <c r="L3" s="326"/>
      <c r="M3" s="326"/>
      <c r="N3" s="326"/>
      <c r="O3" s="326"/>
      <c r="P3" s="4"/>
      <c r="Q3" s="2"/>
      <c r="R3" s="2"/>
      <c r="S3" s="2"/>
      <c r="T3" s="2"/>
      <c r="U3" s="2"/>
      <c r="V3" s="2"/>
      <c r="W3" s="2"/>
      <c r="X3" s="2"/>
      <c r="Y3" s="2"/>
      <c r="Z3" s="2"/>
      <c r="AA3" s="2"/>
      <c r="AB3" s="2"/>
      <c r="AC3" s="2"/>
      <c r="AD3" s="2"/>
      <c r="AE3" s="2"/>
      <c r="AF3" s="2"/>
      <c r="AG3" s="2"/>
      <c r="AH3" s="2"/>
      <c r="AI3" s="2"/>
      <c r="AJ3" s="2"/>
      <c r="AK3" s="2"/>
      <c r="AL3" s="2"/>
      <c r="AM3" s="2"/>
      <c r="AN3" s="2"/>
    </row>
    <row r="4" spans="1:40" x14ac:dyDescent="0.2">
      <c r="A4" s="485" t="s">
        <v>134</v>
      </c>
      <c r="B4" s="485"/>
      <c r="C4" s="485"/>
      <c r="D4" s="269"/>
      <c r="E4" s="269"/>
      <c r="F4" s="269"/>
      <c r="G4" s="269"/>
      <c r="H4" s="269"/>
      <c r="I4" s="2"/>
      <c r="J4" s="168"/>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0" x14ac:dyDescent="0.2">
      <c r="A5" s="486" t="s">
        <v>148</v>
      </c>
      <c r="B5" s="269"/>
      <c r="C5" s="173"/>
      <c r="D5" s="14"/>
      <c r="E5" s="2"/>
      <c r="F5" s="2"/>
      <c r="G5" s="2"/>
      <c r="H5" s="2"/>
      <c r="I5" s="2"/>
      <c r="J5" s="173"/>
      <c r="K5" s="2"/>
      <c r="L5" s="2"/>
      <c r="M5" s="2"/>
      <c r="N5" s="2"/>
      <c r="O5" s="2"/>
      <c r="P5" s="2"/>
      <c r="Q5" s="2"/>
      <c r="R5" s="2"/>
      <c r="S5" s="2"/>
      <c r="T5" s="2"/>
      <c r="U5" s="2"/>
      <c r="V5" s="2"/>
      <c r="W5" s="2" t="s">
        <v>74</v>
      </c>
      <c r="X5" s="4"/>
      <c r="Y5" s="2"/>
      <c r="Z5" s="2"/>
      <c r="AA5" s="2"/>
      <c r="AB5" s="2"/>
      <c r="AC5" s="2" t="s">
        <v>74</v>
      </c>
      <c r="AD5" s="2"/>
      <c r="AE5" s="484"/>
      <c r="AF5" s="2"/>
      <c r="AG5" s="2"/>
      <c r="AH5" s="2"/>
      <c r="AI5" s="2" t="s">
        <v>74</v>
      </c>
      <c r="AJ5" s="2"/>
      <c r="AK5" s="2"/>
      <c r="AL5" s="2"/>
      <c r="AM5" s="2"/>
      <c r="AN5" s="2"/>
    </row>
    <row r="6" spans="1:40" x14ac:dyDescent="0.2">
      <c r="A6" s="486" t="s">
        <v>154</v>
      </c>
      <c r="B6" s="269"/>
      <c r="C6" s="174"/>
      <c r="D6" s="9"/>
      <c r="E6" s="2"/>
      <c r="F6" s="2"/>
      <c r="G6" s="2"/>
      <c r="H6" s="2"/>
      <c r="I6" s="2"/>
      <c r="J6" s="165"/>
      <c r="K6" s="2"/>
      <c r="L6" s="2"/>
      <c r="M6" s="2"/>
      <c r="N6" s="2"/>
      <c r="O6" s="5"/>
      <c r="P6" s="5"/>
      <c r="Q6" s="2"/>
      <c r="R6" s="2"/>
      <c r="S6" s="2"/>
      <c r="T6" s="2"/>
      <c r="U6" s="5"/>
      <c r="V6" s="2"/>
      <c r="W6" s="2"/>
      <c r="X6" s="2"/>
      <c r="Y6" s="2"/>
      <c r="Z6" s="2"/>
      <c r="AA6" s="5"/>
      <c r="AB6" s="5"/>
      <c r="AC6" s="2"/>
      <c r="AD6" s="2"/>
      <c r="AE6" s="484"/>
      <c r="AF6" s="2"/>
      <c r="AG6" s="5"/>
      <c r="AH6" s="5"/>
      <c r="AI6" s="2"/>
      <c r="AJ6" s="2"/>
      <c r="AK6" s="2"/>
      <c r="AL6" s="2"/>
      <c r="AM6" s="5"/>
      <c r="AN6" s="5"/>
    </row>
    <row r="7" spans="1:40" x14ac:dyDescent="0.2">
      <c r="A7" s="481"/>
      <c r="B7" s="481"/>
      <c r="C7" s="481"/>
      <c r="D7" s="269"/>
      <c r="E7" s="269"/>
      <c r="F7" s="269"/>
      <c r="G7" s="269"/>
      <c r="H7" s="269"/>
      <c r="I7" s="2"/>
      <c r="J7" s="2"/>
      <c r="O7" s="2"/>
      <c r="P7" s="2"/>
      <c r="U7" s="2"/>
      <c r="V7" s="2"/>
      <c r="AA7" s="2"/>
      <c r="AB7" s="2"/>
      <c r="AG7" s="2"/>
      <c r="AH7" s="2"/>
      <c r="AM7" s="2"/>
      <c r="AN7" s="2"/>
    </row>
    <row r="8" spans="1:40" x14ac:dyDescent="0.2">
      <c r="A8" s="503" t="s">
        <v>160</v>
      </c>
      <c r="B8" s="503"/>
      <c r="C8" s="503"/>
      <c r="D8" s="360"/>
      <c r="E8" s="360"/>
      <c r="F8" s="360"/>
      <c r="G8" s="360"/>
      <c r="H8" s="360"/>
      <c r="I8" s="360"/>
      <c r="J8" s="424"/>
      <c r="K8" s="424"/>
      <c r="L8" s="424"/>
      <c r="M8" s="424"/>
      <c r="N8" s="424"/>
      <c r="O8" s="326"/>
      <c r="P8" s="326"/>
      <c r="Q8" s="326"/>
      <c r="R8" s="326"/>
      <c r="S8" s="326"/>
      <c r="T8" s="326"/>
      <c r="U8" s="326"/>
      <c r="V8" s="326"/>
      <c r="AA8" s="2"/>
      <c r="AB8" s="2"/>
      <c r="AG8" s="2"/>
      <c r="AH8" s="2"/>
      <c r="AM8" s="2"/>
      <c r="AN8" s="2"/>
    </row>
    <row r="9" spans="1:40" x14ac:dyDescent="0.2">
      <c r="A9" s="174"/>
      <c r="B9" s="174"/>
      <c r="C9" s="174"/>
      <c r="D9" s="9"/>
      <c r="E9" s="2"/>
      <c r="F9" s="2"/>
      <c r="G9" s="2"/>
      <c r="H9" s="2"/>
      <c r="I9" s="2"/>
      <c r="J9" s="165"/>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row>
    <row r="10" spans="1:40" ht="20.399999999999999" x14ac:dyDescent="0.2">
      <c r="A10" s="176"/>
      <c r="B10" s="502" t="s">
        <v>38</v>
      </c>
      <c r="C10" s="470"/>
      <c r="D10" s="18" t="s">
        <v>117</v>
      </c>
      <c r="E10" s="470">
        <v>2026</v>
      </c>
      <c r="F10" s="470"/>
      <c r="G10" s="470"/>
      <c r="H10" s="470"/>
      <c r="I10" s="460"/>
      <c r="J10" s="179"/>
      <c r="K10" s="470">
        <v>2027</v>
      </c>
      <c r="L10" s="470"/>
      <c r="M10" s="470"/>
      <c r="N10" s="470"/>
      <c r="O10" s="460"/>
      <c r="P10" s="251"/>
      <c r="Q10" s="470">
        <v>2028</v>
      </c>
      <c r="R10" s="470"/>
      <c r="S10" s="470"/>
      <c r="T10" s="470"/>
      <c r="U10" s="460"/>
      <c r="V10" s="251"/>
      <c r="W10" s="470">
        <v>2029</v>
      </c>
      <c r="X10" s="470"/>
      <c r="Y10" s="470"/>
      <c r="Z10" s="470"/>
      <c r="AA10" s="460"/>
      <c r="AB10" s="179"/>
      <c r="AC10" s="470">
        <v>2030</v>
      </c>
      <c r="AD10" s="470"/>
      <c r="AE10" s="470"/>
      <c r="AF10" s="470"/>
      <c r="AG10" s="460"/>
      <c r="AH10" s="179"/>
    </row>
    <row r="11" spans="1:40" x14ac:dyDescent="0.2">
      <c r="A11" s="176"/>
      <c r="B11" s="502"/>
      <c r="C11" s="470"/>
      <c r="D11" s="20"/>
      <c r="E11" s="470" t="s">
        <v>93</v>
      </c>
      <c r="F11" s="470"/>
      <c r="G11" s="460"/>
      <c r="H11" s="460"/>
      <c r="I11" s="460"/>
      <c r="J11" s="251"/>
      <c r="K11" s="470" t="s">
        <v>93</v>
      </c>
      <c r="L11" s="470"/>
      <c r="M11" s="460"/>
      <c r="N11" s="460"/>
      <c r="O11" s="460"/>
      <c r="P11" s="179"/>
      <c r="Q11" s="470" t="s">
        <v>93</v>
      </c>
      <c r="R11" s="470"/>
      <c r="S11" s="460"/>
      <c r="T11" s="460"/>
      <c r="U11" s="460"/>
      <c r="V11" s="179"/>
      <c r="W11" s="470" t="s">
        <v>93</v>
      </c>
      <c r="X11" s="470"/>
      <c r="Y11" s="460"/>
      <c r="Z11" s="460"/>
      <c r="AA11" s="460"/>
      <c r="AB11" s="179"/>
      <c r="AC11" s="470" t="s">
        <v>93</v>
      </c>
      <c r="AD11" s="470"/>
      <c r="AE11" s="460"/>
      <c r="AF11" s="460"/>
      <c r="AG11" s="460"/>
      <c r="AH11" s="179"/>
    </row>
    <row r="12" spans="1:40" x14ac:dyDescent="0.2">
      <c r="A12" s="176"/>
      <c r="B12" s="502"/>
      <c r="C12" s="470"/>
      <c r="D12" s="20"/>
      <c r="E12" s="176" t="s">
        <v>1</v>
      </c>
      <c r="F12" s="176" t="s">
        <v>2</v>
      </c>
      <c r="G12" s="176" t="s">
        <v>3</v>
      </c>
      <c r="H12" s="176" t="s">
        <v>4</v>
      </c>
      <c r="I12" s="180" t="s">
        <v>5</v>
      </c>
      <c r="J12" s="180" t="s">
        <v>112</v>
      </c>
      <c r="K12" s="176" t="s">
        <v>1</v>
      </c>
      <c r="L12" s="176" t="s">
        <v>2</v>
      </c>
      <c r="M12" s="176" t="s">
        <v>3</v>
      </c>
      <c r="N12" s="176" t="s">
        <v>4</v>
      </c>
      <c r="O12" s="180" t="s">
        <v>5</v>
      </c>
      <c r="P12" s="180" t="s">
        <v>119</v>
      </c>
      <c r="Q12" s="176" t="s">
        <v>1</v>
      </c>
      <c r="R12" s="176" t="s">
        <v>2</v>
      </c>
      <c r="S12" s="176" t="s">
        <v>3</v>
      </c>
      <c r="T12" s="176" t="s">
        <v>4</v>
      </c>
      <c r="U12" s="180" t="s">
        <v>5</v>
      </c>
      <c r="V12" s="180" t="s">
        <v>121</v>
      </c>
      <c r="W12" s="176" t="s">
        <v>1</v>
      </c>
      <c r="X12" s="176" t="s">
        <v>2</v>
      </c>
      <c r="Y12" s="176" t="s">
        <v>3</v>
      </c>
      <c r="Z12" s="176" t="s">
        <v>4</v>
      </c>
      <c r="AA12" s="180" t="s">
        <v>5</v>
      </c>
      <c r="AB12" s="180" t="s">
        <v>122</v>
      </c>
      <c r="AC12" s="176" t="s">
        <v>1</v>
      </c>
      <c r="AD12" s="176" t="s">
        <v>2</v>
      </c>
      <c r="AE12" s="176" t="s">
        <v>3</v>
      </c>
      <c r="AF12" s="176" t="s">
        <v>4</v>
      </c>
      <c r="AG12" s="180" t="s">
        <v>5</v>
      </c>
      <c r="AH12" s="180" t="s">
        <v>123</v>
      </c>
    </row>
    <row r="13" spans="1:40" x14ac:dyDescent="0.2">
      <c r="A13" s="178">
        <v>0</v>
      </c>
      <c r="B13" s="178">
        <v>1</v>
      </c>
      <c r="C13" s="178">
        <v>2</v>
      </c>
      <c r="D13" s="22">
        <v>3</v>
      </c>
      <c r="E13" s="178" t="s">
        <v>113</v>
      </c>
      <c r="F13" s="178" t="s">
        <v>114</v>
      </c>
      <c r="G13" s="178" t="s">
        <v>115</v>
      </c>
      <c r="H13" s="178" t="s">
        <v>116</v>
      </c>
      <c r="I13" s="178"/>
      <c r="J13" s="178"/>
      <c r="K13" s="178" t="s">
        <v>113</v>
      </c>
      <c r="L13" s="178" t="s">
        <v>114</v>
      </c>
      <c r="M13" s="178" t="s">
        <v>115</v>
      </c>
      <c r="N13" s="178" t="s">
        <v>116</v>
      </c>
      <c r="O13" s="178"/>
      <c r="P13" s="178"/>
      <c r="Q13" s="178" t="s">
        <v>113</v>
      </c>
      <c r="R13" s="178" t="s">
        <v>114</v>
      </c>
      <c r="S13" s="178" t="s">
        <v>115</v>
      </c>
      <c r="T13" s="178" t="s">
        <v>116</v>
      </c>
      <c r="U13" s="178"/>
      <c r="V13" s="178"/>
      <c r="W13" s="178" t="s">
        <v>113</v>
      </c>
      <c r="X13" s="178" t="s">
        <v>114</v>
      </c>
      <c r="Y13" s="178" t="s">
        <v>115</v>
      </c>
      <c r="Z13" s="178" t="s">
        <v>116</v>
      </c>
      <c r="AA13" s="178"/>
      <c r="AB13" s="178"/>
      <c r="AC13" s="178" t="s">
        <v>113</v>
      </c>
      <c r="AD13" s="178" t="s">
        <v>114</v>
      </c>
      <c r="AE13" s="178" t="s">
        <v>115</v>
      </c>
      <c r="AF13" s="178" t="s">
        <v>116</v>
      </c>
      <c r="AG13" s="178"/>
      <c r="AH13" s="178"/>
    </row>
    <row r="14" spans="1:40" ht="10.8" thickBot="1" x14ac:dyDescent="0.25">
      <c r="A14" s="176">
        <v>1.1000000000000001</v>
      </c>
      <c r="B14" s="184" t="s">
        <v>105</v>
      </c>
      <c r="C14" s="184"/>
      <c r="D14" s="20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row>
    <row r="15" spans="1:40" ht="10.8" thickBot="1" x14ac:dyDescent="0.25">
      <c r="A15" s="469"/>
      <c r="B15" s="465" t="s">
        <v>92</v>
      </c>
      <c r="C15" s="476"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40" ht="10.8" thickBot="1" x14ac:dyDescent="0.25">
      <c r="A16" s="469"/>
      <c r="B16" s="465"/>
      <c r="C16" s="476"/>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469"/>
      <c r="B17" s="465"/>
      <c r="C17" s="476"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469"/>
      <c r="B18" s="465"/>
      <c r="C18" s="476"/>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469"/>
      <c r="B19" s="465"/>
      <c r="C19" s="476"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469"/>
      <c r="B20" s="465"/>
      <c r="C20" s="476"/>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0.8" thickBot="1" x14ac:dyDescent="0.25">
      <c r="A21" s="469"/>
      <c r="B21" s="465" t="s">
        <v>80</v>
      </c>
      <c r="C21" s="476"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469"/>
      <c r="B22" s="465"/>
      <c r="C22" s="476"/>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469"/>
      <c r="B23" s="465"/>
      <c r="C23" s="476"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469"/>
      <c r="B24" s="465"/>
      <c r="C24" s="476"/>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469"/>
      <c r="B25" s="465"/>
      <c r="C25" s="476"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469"/>
      <c r="B26" s="465"/>
      <c r="C26" s="476"/>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0.8" thickBot="1" x14ac:dyDescent="0.25">
      <c r="A27" s="469"/>
      <c r="B27" s="465" t="s">
        <v>81</v>
      </c>
      <c r="C27" s="476"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469"/>
      <c r="B28" s="465"/>
      <c r="C28" s="476"/>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469"/>
      <c r="B29" s="465"/>
      <c r="C29" s="476"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469"/>
      <c r="B30" s="465"/>
      <c r="C30" s="476"/>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469"/>
      <c r="B31" s="465"/>
      <c r="C31" s="476"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469"/>
      <c r="B32" s="465"/>
      <c r="C32" s="476"/>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0.8" thickBot="1" x14ac:dyDescent="0.25">
      <c r="A33" s="469"/>
      <c r="B33" s="488" t="s">
        <v>79</v>
      </c>
      <c r="C33" s="476"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469"/>
      <c r="B34" s="488"/>
      <c r="C34" s="476"/>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469"/>
      <c r="B35" s="488"/>
      <c r="C35" s="476"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469"/>
      <c r="B36" s="488"/>
      <c r="C36" s="476"/>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469"/>
      <c r="B37" s="488"/>
      <c r="C37" s="476"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469"/>
      <c r="B38" s="488"/>
      <c r="C38" s="476"/>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6">
        <v>1.2</v>
      </c>
      <c r="B39" s="457" t="s">
        <v>12</v>
      </c>
      <c r="C39" s="458"/>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469"/>
      <c r="B40" s="465" t="s">
        <v>39</v>
      </c>
      <c r="C40" s="465" t="s">
        <v>6</v>
      </c>
      <c r="D40" s="251" t="s">
        <v>78</v>
      </c>
      <c r="E40" s="451">
        <v>1</v>
      </c>
      <c r="F40" s="451">
        <v>1</v>
      </c>
      <c r="G40" s="451">
        <v>1</v>
      </c>
      <c r="H40" s="451">
        <v>1</v>
      </c>
      <c r="I40" s="460"/>
      <c r="J40" s="451">
        <v>1</v>
      </c>
      <c r="K40" s="451">
        <v>1</v>
      </c>
      <c r="L40" s="451">
        <v>1</v>
      </c>
      <c r="M40" s="451">
        <v>1</v>
      </c>
      <c r="N40" s="451">
        <v>1</v>
      </c>
      <c r="O40" s="179"/>
      <c r="P40" s="451">
        <v>1</v>
      </c>
      <c r="Q40" s="451">
        <v>1</v>
      </c>
      <c r="R40" s="451">
        <v>1</v>
      </c>
      <c r="S40" s="451">
        <v>1</v>
      </c>
      <c r="T40" s="451">
        <v>1</v>
      </c>
      <c r="U40" s="179"/>
      <c r="V40" s="451">
        <v>1</v>
      </c>
      <c r="W40" s="451">
        <v>1</v>
      </c>
      <c r="X40" s="451">
        <v>1</v>
      </c>
      <c r="Y40" s="451">
        <v>1</v>
      </c>
      <c r="Z40" s="451">
        <v>1</v>
      </c>
      <c r="AA40" s="179"/>
      <c r="AB40" s="451">
        <v>1</v>
      </c>
      <c r="AC40" s="451">
        <v>1</v>
      </c>
      <c r="AD40" s="451">
        <v>1</v>
      </c>
      <c r="AE40" s="451">
        <v>1</v>
      </c>
      <c r="AF40" s="451">
        <v>1</v>
      </c>
      <c r="AG40" s="179"/>
      <c r="AH40" s="451">
        <v>1</v>
      </c>
    </row>
    <row r="41" spans="1:34" x14ac:dyDescent="0.2">
      <c r="A41" s="469"/>
      <c r="B41" s="465"/>
      <c r="C41" s="465"/>
      <c r="D41" s="251"/>
      <c r="E41" s="451"/>
      <c r="F41" s="451"/>
      <c r="G41" s="451"/>
      <c r="H41" s="451"/>
      <c r="I41" s="460"/>
      <c r="J41" s="451"/>
      <c r="K41" s="451"/>
      <c r="L41" s="451"/>
      <c r="M41" s="451"/>
      <c r="N41" s="451"/>
      <c r="O41" s="179"/>
      <c r="P41" s="451"/>
      <c r="Q41" s="451"/>
      <c r="R41" s="451"/>
      <c r="S41" s="451"/>
      <c r="T41" s="451"/>
      <c r="U41" s="179"/>
      <c r="V41" s="451"/>
      <c r="W41" s="451"/>
      <c r="X41" s="451"/>
      <c r="Y41" s="451"/>
      <c r="Z41" s="451"/>
      <c r="AA41" s="179"/>
      <c r="AB41" s="451"/>
      <c r="AC41" s="451"/>
      <c r="AD41" s="451"/>
      <c r="AE41" s="451"/>
      <c r="AF41" s="451"/>
      <c r="AG41" s="179"/>
      <c r="AH41" s="451"/>
    </row>
    <row r="42" spans="1:34" x14ac:dyDescent="0.2">
      <c r="A42" s="469"/>
      <c r="B42" s="465"/>
      <c r="C42" s="465" t="s">
        <v>7</v>
      </c>
      <c r="D42" s="251" t="s">
        <v>78</v>
      </c>
      <c r="E42" s="451">
        <v>1</v>
      </c>
      <c r="F42" s="451">
        <v>1</v>
      </c>
      <c r="G42" s="451">
        <v>1</v>
      </c>
      <c r="H42" s="451">
        <v>1</v>
      </c>
      <c r="I42" s="460"/>
      <c r="J42" s="451">
        <v>1</v>
      </c>
      <c r="K42" s="451">
        <v>1</v>
      </c>
      <c r="L42" s="451">
        <v>1</v>
      </c>
      <c r="M42" s="451">
        <v>1</v>
      </c>
      <c r="N42" s="451">
        <v>1</v>
      </c>
      <c r="O42" s="179"/>
      <c r="P42" s="451">
        <v>1</v>
      </c>
      <c r="Q42" s="451">
        <v>1</v>
      </c>
      <c r="R42" s="451">
        <v>1</v>
      </c>
      <c r="S42" s="451">
        <v>1</v>
      </c>
      <c r="T42" s="451">
        <v>1</v>
      </c>
      <c r="U42" s="179"/>
      <c r="V42" s="451">
        <v>1</v>
      </c>
      <c r="W42" s="451">
        <v>1</v>
      </c>
      <c r="X42" s="451">
        <v>1</v>
      </c>
      <c r="Y42" s="451">
        <v>1</v>
      </c>
      <c r="Z42" s="451">
        <v>1</v>
      </c>
      <c r="AA42" s="179"/>
      <c r="AB42" s="451">
        <v>1</v>
      </c>
      <c r="AC42" s="451">
        <v>1</v>
      </c>
      <c r="AD42" s="451">
        <v>1</v>
      </c>
      <c r="AE42" s="451">
        <v>1</v>
      </c>
      <c r="AF42" s="451">
        <v>1</v>
      </c>
      <c r="AG42" s="179"/>
      <c r="AH42" s="451">
        <v>1</v>
      </c>
    </row>
    <row r="43" spans="1:34" x14ac:dyDescent="0.2">
      <c r="A43" s="469"/>
      <c r="B43" s="465"/>
      <c r="C43" s="465"/>
      <c r="D43" s="251"/>
      <c r="E43" s="451"/>
      <c r="F43" s="451"/>
      <c r="G43" s="451"/>
      <c r="H43" s="451"/>
      <c r="I43" s="460"/>
      <c r="J43" s="451"/>
      <c r="K43" s="451"/>
      <c r="L43" s="451"/>
      <c r="M43" s="451"/>
      <c r="N43" s="451"/>
      <c r="O43" s="179"/>
      <c r="P43" s="451"/>
      <c r="Q43" s="451"/>
      <c r="R43" s="451"/>
      <c r="S43" s="451"/>
      <c r="T43" s="451"/>
      <c r="U43" s="179"/>
      <c r="V43" s="451"/>
      <c r="W43" s="451"/>
      <c r="X43" s="451"/>
      <c r="Y43" s="451"/>
      <c r="Z43" s="451"/>
      <c r="AA43" s="179"/>
      <c r="AB43" s="451"/>
      <c r="AC43" s="451"/>
      <c r="AD43" s="451"/>
      <c r="AE43" s="451"/>
      <c r="AF43" s="451"/>
      <c r="AG43" s="179"/>
      <c r="AH43" s="451"/>
    </row>
    <row r="44" spans="1:34" x14ac:dyDescent="0.2">
      <c r="A44" s="469"/>
      <c r="B44" s="465"/>
      <c r="C44" s="465" t="s">
        <v>8</v>
      </c>
      <c r="D44" s="251" t="s">
        <v>78</v>
      </c>
      <c r="E44" s="451">
        <v>1</v>
      </c>
      <c r="F44" s="451">
        <v>1</v>
      </c>
      <c r="G44" s="451">
        <v>1</v>
      </c>
      <c r="H44" s="451">
        <v>1</v>
      </c>
      <c r="I44" s="460"/>
      <c r="J44" s="451">
        <v>1</v>
      </c>
      <c r="K44" s="451">
        <v>1</v>
      </c>
      <c r="L44" s="451">
        <v>1</v>
      </c>
      <c r="M44" s="451">
        <v>1</v>
      </c>
      <c r="N44" s="451">
        <v>1</v>
      </c>
      <c r="O44" s="179"/>
      <c r="P44" s="451">
        <v>1</v>
      </c>
      <c r="Q44" s="451">
        <v>1</v>
      </c>
      <c r="R44" s="451">
        <v>1</v>
      </c>
      <c r="S44" s="451">
        <v>1</v>
      </c>
      <c r="T44" s="451">
        <v>1</v>
      </c>
      <c r="U44" s="179"/>
      <c r="V44" s="451">
        <v>1</v>
      </c>
      <c r="W44" s="451">
        <v>1</v>
      </c>
      <c r="X44" s="451">
        <v>1</v>
      </c>
      <c r="Y44" s="451">
        <v>1</v>
      </c>
      <c r="Z44" s="451">
        <v>1</v>
      </c>
      <c r="AA44" s="179"/>
      <c r="AB44" s="451">
        <v>1</v>
      </c>
      <c r="AC44" s="451">
        <v>1</v>
      </c>
      <c r="AD44" s="451">
        <v>1</v>
      </c>
      <c r="AE44" s="451">
        <v>1</v>
      </c>
      <c r="AF44" s="451">
        <v>1</v>
      </c>
      <c r="AG44" s="179"/>
      <c r="AH44" s="451">
        <v>1</v>
      </c>
    </row>
    <row r="45" spans="1:34" x14ac:dyDescent="0.2">
      <c r="A45" s="469"/>
      <c r="B45" s="465"/>
      <c r="C45" s="465"/>
      <c r="D45" s="251"/>
      <c r="E45" s="451"/>
      <c r="F45" s="451"/>
      <c r="G45" s="451"/>
      <c r="H45" s="451"/>
      <c r="I45" s="460"/>
      <c r="J45" s="451"/>
      <c r="K45" s="451"/>
      <c r="L45" s="451"/>
      <c r="M45" s="451"/>
      <c r="N45" s="451"/>
      <c r="O45" s="179"/>
      <c r="P45" s="451"/>
      <c r="Q45" s="451"/>
      <c r="R45" s="451"/>
      <c r="S45" s="451"/>
      <c r="T45" s="451"/>
      <c r="U45" s="179"/>
      <c r="V45" s="451"/>
      <c r="W45" s="451"/>
      <c r="X45" s="451"/>
      <c r="Y45" s="451"/>
      <c r="Z45" s="451"/>
      <c r="AA45" s="179"/>
      <c r="AB45" s="451"/>
      <c r="AC45" s="451"/>
      <c r="AD45" s="451"/>
      <c r="AE45" s="451"/>
      <c r="AF45" s="451"/>
      <c r="AG45" s="179"/>
      <c r="AH45" s="451"/>
    </row>
    <row r="46" spans="1:34" x14ac:dyDescent="0.2">
      <c r="A46" s="469"/>
      <c r="B46" s="465" t="s">
        <v>0</v>
      </c>
      <c r="C46" s="465" t="s">
        <v>6</v>
      </c>
      <c r="D46" s="251" t="s">
        <v>78</v>
      </c>
      <c r="E46" s="451">
        <v>1</v>
      </c>
      <c r="F46" s="451">
        <v>1</v>
      </c>
      <c r="G46" s="451">
        <v>1</v>
      </c>
      <c r="H46" s="451">
        <v>1</v>
      </c>
      <c r="I46" s="460"/>
      <c r="J46" s="451">
        <v>1</v>
      </c>
      <c r="K46" s="451">
        <v>1</v>
      </c>
      <c r="L46" s="451">
        <v>1</v>
      </c>
      <c r="M46" s="451">
        <v>1</v>
      </c>
      <c r="N46" s="451">
        <v>1</v>
      </c>
      <c r="O46" s="179"/>
      <c r="P46" s="451">
        <v>1</v>
      </c>
      <c r="Q46" s="451">
        <v>1</v>
      </c>
      <c r="R46" s="451">
        <v>1</v>
      </c>
      <c r="S46" s="451">
        <v>1</v>
      </c>
      <c r="T46" s="451">
        <v>1</v>
      </c>
      <c r="U46" s="179"/>
      <c r="V46" s="451">
        <v>1</v>
      </c>
      <c r="W46" s="451">
        <v>1</v>
      </c>
      <c r="X46" s="451">
        <v>1</v>
      </c>
      <c r="Y46" s="451">
        <v>1</v>
      </c>
      <c r="Z46" s="451">
        <v>1</v>
      </c>
      <c r="AA46" s="179"/>
      <c r="AB46" s="451">
        <v>1</v>
      </c>
      <c r="AC46" s="451">
        <v>1</v>
      </c>
      <c r="AD46" s="451">
        <v>1</v>
      </c>
      <c r="AE46" s="451">
        <v>1</v>
      </c>
      <c r="AF46" s="451">
        <v>1</v>
      </c>
      <c r="AG46" s="179"/>
      <c r="AH46" s="451">
        <v>1</v>
      </c>
    </row>
    <row r="47" spans="1:34" x14ac:dyDescent="0.2">
      <c r="A47" s="469"/>
      <c r="B47" s="465"/>
      <c r="C47" s="465"/>
      <c r="D47" s="251"/>
      <c r="E47" s="451"/>
      <c r="F47" s="451"/>
      <c r="G47" s="451"/>
      <c r="H47" s="451"/>
      <c r="I47" s="460"/>
      <c r="J47" s="451"/>
      <c r="K47" s="451"/>
      <c r="L47" s="451"/>
      <c r="M47" s="451"/>
      <c r="N47" s="451"/>
      <c r="O47" s="179"/>
      <c r="P47" s="451"/>
      <c r="Q47" s="451"/>
      <c r="R47" s="451"/>
      <c r="S47" s="451"/>
      <c r="T47" s="451"/>
      <c r="U47" s="179"/>
      <c r="V47" s="451"/>
      <c r="W47" s="451"/>
      <c r="X47" s="451"/>
      <c r="Y47" s="451"/>
      <c r="Z47" s="451"/>
      <c r="AA47" s="179"/>
      <c r="AB47" s="451"/>
      <c r="AC47" s="451"/>
      <c r="AD47" s="451"/>
      <c r="AE47" s="451"/>
      <c r="AF47" s="451"/>
      <c r="AG47" s="179"/>
      <c r="AH47" s="451"/>
    </row>
    <row r="48" spans="1:34" x14ac:dyDescent="0.2">
      <c r="A48" s="469"/>
      <c r="B48" s="465"/>
      <c r="C48" s="465" t="s">
        <v>7</v>
      </c>
      <c r="D48" s="251" t="s">
        <v>78</v>
      </c>
      <c r="E48" s="451">
        <v>1</v>
      </c>
      <c r="F48" s="451">
        <v>1</v>
      </c>
      <c r="G48" s="451">
        <v>1</v>
      </c>
      <c r="H48" s="451">
        <v>1</v>
      </c>
      <c r="I48" s="460"/>
      <c r="J48" s="451">
        <v>1</v>
      </c>
      <c r="K48" s="451">
        <v>1</v>
      </c>
      <c r="L48" s="451">
        <v>1</v>
      </c>
      <c r="M48" s="451">
        <v>1</v>
      </c>
      <c r="N48" s="451">
        <v>1</v>
      </c>
      <c r="O48" s="179"/>
      <c r="P48" s="451">
        <v>1</v>
      </c>
      <c r="Q48" s="451">
        <v>1</v>
      </c>
      <c r="R48" s="451">
        <v>1</v>
      </c>
      <c r="S48" s="451">
        <v>1</v>
      </c>
      <c r="T48" s="451">
        <v>1</v>
      </c>
      <c r="U48" s="179"/>
      <c r="V48" s="451">
        <v>1</v>
      </c>
      <c r="W48" s="451">
        <v>1</v>
      </c>
      <c r="X48" s="451">
        <v>1</v>
      </c>
      <c r="Y48" s="451">
        <v>1</v>
      </c>
      <c r="Z48" s="451">
        <v>1</v>
      </c>
      <c r="AA48" s="179"/>
      <c r="AB48" s="451">
        <v>1</v>
      </c>
      <c r="AC48" s="451">
        <v>1</v>
      </c>
      <c r="AD48" s="451">
        <v>1</v>
      </c>
      <c r="AE48" s="451">
        <v>1</v>
      </c>
      <c r="AF48" s="451">
        <v>1</v>
      </c>
      <c r="AG48" s="179"/>
      <c r="AH48" s="451">
        <v>1</v>
      </c>
    </row>
    <row r="49" spans="1:34" x14ac:dyDescent="0.2">
      <c r="A49" s="469"/>
      <c r="B49" s="465"/>
      <c r="C49" s="465"/>
      <c r="D49" s="251"/>
      <c r="E49" s="451"/>
      <c r="F49" s="451"/>
      <c r="G49" s="451"/>
      <c r="H49" s="451"/>
      <c r="I49" s="460"/>
      <c r="J49" s="451"/>
      <c r="K49" s="451"/>
      <c r="L49" s="451"/>
      <c r="M49" s="451"/>
      <c r="N49" s="451"/>
      <c r="O49" s="179"/>
      <c r="P49" s="451"/>
      <c r="Q49" s="451"/>
      <c r="R49" s="451"/>
      <c r="S49" s="451"/>
      <c r="T49" s="451"/>
      <c r="U49" s="179"/>
      <c r="V49" s="451"/>
      <c r="W49" s="451"/>
      <c r="X49" s="451"/>
      <c r="Y49" s="451"/>
      <c r="Z49" s="451"/>
      <c r="AA49" s="179"/>
      <c r="AB49" s="451"/>
      <c r="AC49" s="451"/>
      <c r="AD49" s="451"/>
      <c r="AE49" s="451"/>
      <c r="AF49" s="451"/>
      <c r="AG49" s="179"/>
      <c r="AH49" s="451"/>
    </row>
    <row r="50" spans="1:34" x14ac:dyDescent="0.2">
      <c r="A50" s="469"/>
      <c r="B50" s="465"/>
      <c r="C50" s="465" t="s">
        <v>8</v>
      </c>
      <c r="D50" s="251" t="s">
        <v>78</v>
      </c>
      <c r="E50" s="451">
        <v>1</v>
      </c>
      <c r="F50" s="451">
        <v>1</v>
      </c>
      <c r="G50" s="451">
        <v>1</v>
      </c>
      <c r="H50" s="451">
        <v>1</v>
      </c>
      <c r="I50" s="460"/>
      <c r="J50" s="451">
        <v>1</v>
      </c>
      <c r="K50" s="451">
        <v>1</v>
      </c>
      <c r="L50" s="451">
        <v>1</v>
      </c>
      <c r="M50" s="451">
        <v>1</v>
      </c>
      <c r="N50" s="451">
        <v>1</v>
      </c>
      <c r="O50" s="179"/>
      <c r="P50" s="451">
        <v>1</v>
      </c>
      <c r="Q50" s="451">
        <v>1</v>
      </c>
      <c r="R50" s="451">
        <v>1</v>
      </c>
      <c r="S50" s="451">
        <v>1</v>
      </c>
      <c r="T50" s="451">
        <v>1</v>
      </c>
      <c r="U50" s="179"/>
      <c r="V50" s="451">
        <v>1</v>
      </c>
      <c r="W50" s="451">
        <v>1</v>
      </c>
      <c r="X50" s="451">
        <v>1</v>
      </c>
      <c r="Y50" s="451">
        <v>1</v>
      </c>
      <c r="Z50" s="451">
        <v>1</v>
      </c>
      <c r="AA50" s="179"/>
      <c r="AB50" s="451">
        <v>1</v>
      </c>
      <c r="AC50" s="451">
        <v>1</v>
      </c>
      <c r="AD50" s="451">
        <v>1</v>
      </c>
      <c r="AE50" s="451">
        <v>1</v>
      </c>
      <c r="AF50" s="451">
        <v>1</v>
      </c>
      <c r="AG50" s="179"/>
      <c r="AH50" s="451">
        <v>1</v>
      </c>
    </row>
    <row r="51" spans="1:34" x14ac:dyDescent="0.2">
      <c r="A51" s="469"/>
      <c r="B51" s="465"/>
      <c r="C51" s="465"/>
      <c r="D51" s="251"/>
      <c r="E51" s="451"/>
      <c r="F51" s="451"/>
      <c r="G51" s="451"/>
      <c r="H51" s="451"/>
      <c r="I51" s="460"/>
      <c r="J51" s="451"/>
      <c r="K51" s="451"/>
      <c r="L51" s="451"/>
      <c r="M51" s="451"/>
      <c r="N51" s="451"/>
      <c r="O51" s="179"/>
      <c r="P51" s="451"/>
      <c r="Q51" s="451"/>
      <c r="R51" s="451"/>
      <c r="S51" s="451"/>
      <c r="T51" s="451"/>
      <c r="U51" s="179"/>
      <c r="V51" s="451"/>
      <c r="W51" s="451"/>
      <c r="X51" s="451"/>
      <c r="Y51" s="451"/>
      <c r="Z51" s="451"/>
      <c r="AA51" s="179"/>
      <c r="AB51" s="451"/>
      <c r="AC51" s="451"/>
      <c r="AD51" s="451"/>
      <c r="AE51" s="451"/>
      <c r="AF51" s="451"/>
      <c r="AG51" s="179"/>
      <c r="AH51" s="451"/>
    </row>
    <row r="52" spans="1:34" x14ac:dyDescent="0.2">
      <c r="A52" s="469"/>
      <c r="B52" s="465" t="s">
        <v>40</v>
      </c>
      <c r="C52" s="478" t="s">
        <v>6</v>
      </c>
      <c r="D52" s="251" t="s">
        <v>78</v>
      </c>
      <c r="E52" s="451">
        <v>1</v>
      </c>
      <c r="F52" s="451">
        <v>1</v>
      </c>
      <c r="G52" s="451">
        <v>1</v>
      </c>
      <c r="H52" s="451">
        <v>1</v>
      </c>
      <c r="I52" s="460"/>
      <c r="J52" s="451">
        <v>1</v>
      </c>
      <c r="K52" s="451">
        <v>1</v>
      </c>
      <c r="L52" s="451">
        <v>1</v>
      </c>
      <c r="M52" s="451">
        <v>1</v>
      </c>
      <c r="N52" s="451">
        <v>1</v>
      </c>
      <c r="O52" s="179"/>
      <c r="P52" s="451">
        <v>1</v>
      </c>
      <c r="Q52" s="451">
        <v>1</v>
      </c>
      <c r="R52" s="451">
        <v>1</v>
      </c>
      <c r="S52" s="451">
        <v>1</v>
      </c>
      <c r="T52" s="451">
        <v>1</v>
      </c>
      <c r="U52" s="179"/>
      <c r="V52" s="451">
        <v>1</v>
      </c>
      <c r="W52" s="451">
        <v>1</v>
      </c>
      <c r="X52" s="451">
        <v>1</v>
      </c>
      <c r="Y52" s="451">
        <v>1</v>
      </c>
      <c r="Z52" s="451">
        <v>1</v>
      </c>
      <c r="AA52" s="179"/>
      <c r="AB52" s="451">
        <v>1</v>
      </c>
      <c r="AC52" s="451">
        <v>1</v>
      </c>
      <c r="AD52" s="451">
        <v>1</v>
      </c>
      <c r="AE52" s="451">
        <v>1</v>
      </c>
      <c r="AF52" s="451">
        <v>1</v>
      </c>
      <c r="AG52" s="179"/>
      <c r="AH52" s="451">
        <v>1</v>
      </c>
    </row>
    <row r="53" spans="1:34" x14ac:dyDescent="0.2">
      <c r="A53" s="469"/>
      <c r="B53" s="465"/>
      <c r="C53" s="478"/>
      <c r="D53" s="251"/>
      <c r="E53" s="451"/>
      <c r="F53" s="451"/>
      <c r="G53" s="451"/>
      <c r="H53" s="451"/>
      <c r="I53" s="460"/>
      <c r="J53" s="451"/>
      <c r="K53" s="451"/>
      <c r="L53" s="451"/>
      <c r="M53" s="451"/>
      <c r="N53" s="451"/>
      <c r="O53" s="179"/>
      <c r="P53" s="451"/>
      <c r="Q53" s="451"/>
      <c r="R53" s="451"/>
      <c r="S53" s="451"/>
      <c r="T53" s="451"/>
      <c r="U53" s="179"/>
      <c r="V53" s="451"/>
      <c r="W53" s="451"/>
      <c r="X53" s="451"/>
      <c r="Y53" s="451"/>
      <c r="Z53" s="451"/>
      <c r="AA53" s="179"/>
      <c r="AB53" s="451"/>
      <c r="AC53" s="451"/>
      <c r="AD53" s="451"/>
      <c r="AE53" s="451"/>
      <c r="AF53" s="451"/>
      <c r="AG53" s="179"/>
      <c r="AH53" s="451"/>
    </row>
    <row r="54" spans="1:34" x14ac:dyDescent="0.2">
      <c r="A54" s="469"/>
      <c r="B54" s="465"/>
      <c r="C54" s="478" t="s">
        <v>7</v>
      </c>
      <c r="D54" s="251" t="s">
        <v>78</v>
      </c>
      <c r="E54" s="451">
        <v>1</v>
      </c>
      <c r="F54" s="451">
        <v>1</v>
      </c>
      <c r="G54" s="451">
        <v>1</v>
      </c>
      <c r="H54" s="451">
        <v>1</v>
      </c>
      <c r="I54" s="460"/>
      <c r="J54" s="451">
        <v>1</v>
      </c>
      <c r="K54" s="451">
        <v>1</v>
      </c>
      <c r="L54" s="451">
        <v>1</v>
      </c>
      <c r="M54" s="451">
        <v>1</v>
      </c>
      <c r="N54" s="451">
        <v>1</v>
      </c>
      <c r="O54" s="179"/>
      <c r="P54" s="451">
        <v>1</v>
      </c>
      <c r="Q54" s="451">
        <v>1</v>
      </c>
      <c r="R54" s="451">
        <v>1</v>
      </c>
      <c r="S54" s="451">
        <v>1</v>
      </c>
      <c r="T54" s="451">
        <v>1</v>
      </c>
      <c r="U54" s="179"/>
      <c r="V54" s="451">
        <v>1</v>
      </c>
      <c r="W54" s="451">
        <v>1</v>
      </c>
      <c r="X54" s="451">
        <v>1</v>
      </c>
      <c r="Y54" s="451">
        <v>1</v>
      </c>
      <c r="Z54" s="451">
        <v>1</v>
      </c>
      <c r="AA54" s="179"/>
      <c r="AB54" s="451">
        <v>1</v>
      </c>
      <c r="AC54" s="451">
        <v>1</v>
      </c>
      <c r="AD54" s="451">
        <v>1</v>
      </c>
      <c r="AE54" s="451">
        <v>1</v>
      </c>
      <c r="AF54" s="451">
        <v>1</v>
      </c>
      <c r="AG54" s="179"/>
      <c r="AH54" s="451">
        <v>1</v>
      </c>
    </row>
    <row r="55" spans="1:34" x14ac:dyDescent="0.2">
      <c r="A55" s="469"/>
      <c r="B55" s="465"/>
      <c r="C55" s="478"/>
      <c r="D55" s="251"/>
      <c r="E55" s="451"/>
      <c r="F55" s="451"/>
      <c r="G55" s="451"/>
      <c r="H55" s="451"/>
      <c r="I55" s="460"/>
      <c r="J55" s="451"/>
      <c r="K55" s="451"/>
      <c r="L55" s="451"/>
      <c r="M55" s="451"/>
      <c r="N55" s="451"/>
      <c r="O55" s="179"/>
      <c r="P55" s="451"/>
      <c r="Q55" s="451"/>
      <c r="R55" s="451"/>
      <c r="S55" s="451"/>
      <c r="T55" s="451"/>
      <c r="U55" s="179"/>
      <c r="V55" s="451"/>
      <c r="W55" s="451"/>
      <c r="X55" s="451"/>
      <c r="Y55" s="451"/>
      <c r="Z55" s="451"/>
      <c r="AA55" s="179"/>
      <c r="AB55" s="451"/>
      <c r="AC55" s="451"/>
      <c r="AD55" s="451"/>
      <c r="AE55" s="451"/>
      <c r="AF55" s="451"/>
      <c r="AG55" s="179"/>
      <c r="AH55" s="451"/>
    </row>
    <row r="56" spans="1:34" x14ac:dyDescent="0.2">
      <c r="A56" s="469"/>
      <c r="B56" s="465"/>
      <c r="C56" s="478" t="s">
        <v>8</v>
      </c>
      <c r="D56" s="251" t="s">
        <v>78</v>
      </c>
      <c r="E56" s="451">
        <v>1</v>
      </c>
      <c r="F56" s="451">
        <v>1</v>
      </c>
      <c r="G56" s="451">
        <v>1</v>
      </c>
      <c r="H56" s="451">
        <v>1</v>
      </c>
      <c r="I56" s="460"/>
      <c r="J56" s="451">
        <v>1</v>
      </c>
      <c r="K56" s="451">
        <v>1</v>
      </c>
      <c r="L56" s="451">
        <v>1</v>
      </c>
      <c r="M56" s="451">
        <v>1</v>
      </c>
      <c r="N56" s="451">
        <v>1</v>
      </c>
      <c r="O56" s="179"/>
      <c r="P56" s="451">
        <v>1</v>
      </c>
      <c r="Q56" s="451">
        <v>1</v>
      </c>
      <c r="R56" s="451">
        <v>1</v>
      </c>
      <c r="S56" s="451">
        <v>1</v>
      </c>
      <c r="T56" s="451">
        <v>1</v>
      </c>
      <c r="U56" s="179"/>
      <c r="V56" s="451">
        <v>1</v>
      </c>
      <c r="W56" s="451">
        <v>1</v>
      </c>
      <c r="X56" s="451">
        <v>1</v>
      </c>
      <c r="Y56" s="451">
        <v>1</v>
      </c>
      <c r="Z56" s="451">
        <v>1</v>
      </c>
      <c r="AA56" s="179"/>
      <c r="AB56" s="451">
        <v>1</v>
      </c>
      <c r="AC56" s="451">
        <v>1</v>
      </c>
      <c r="AD56" s="451">
        <v>1</v>
      </c>
      <c r="AE56" s="451">
        <v>1</v>
      </c>
      <c r="AF56" s="451">
        <v>1</v>
      </c>
      <c r="AG56" s="179"/>
      <c r="AH56" s="451">
        <v>1</v>
      </c>
    </row>
    <row r="57" spans="1:34" x14ac:dyDescent="0.2">
      <c r="A57" s="469"/>
      <c r="B57" s="465"/>
      <c r="C57" s="478"/>
      <c r="D57" s="251"/>
      <c r="E57" s="451"/>
      <c r="F57" s="451"/>
      <c r="G57" s="451"/>
      <c r="H57" s="451"/>
      <c r="I57" s="460"/>
      <c r="J57" s="451"/>
      <c r="K57" s="451"/>
      <c r="L57" s="451"/>
      <c r="M57" s="451"/>
      <c r="N57" s="451"/>
      <c r="O57" s="179"/>
      <c r="P57" s="451"/>
      <c r="Q57" s="451"/>
      <c r="R57" s="451"/>
      <c r="S57" s="451"/>
      <c r="T57" s="451"/>
      <c r="U57" s="179"/>
      <c r="V57" s="451"/>
      <c r="W57" s="451"/>
      <c r="X57" s="451"/>
      <c r="Y57" s="451"/>
      <c r="Z57" s="451"/>
      <c r="AA57" s="179"/>
      <c r="AB57" s="451"/>
      <c r="AC57" s="451"/>
      <c r="AD57" s="451"/>
      <c r="AE57" s="451"/>
      <c r="AF57" s="451"/>
      <c r="AG57" s="179"/>
      <c r="AH57" s="451"/>
    </row>
    <row r="58" spans="1:34" x14ac:dyDescent="0.2">
      <c r="A58" s="176">
        <v>1.3</v>
      </c>
      <c r="B58" s="457" t="s">
        <v>13</v>
      </c>
      <c r="C58" s="458"/>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469"/>
      <c r="B59" s="465" t="s">
        <v>77</v>
      </c>
      <c r="C59" s="465"/>
      <c r="D59" s="251" t="s">
        <v>78</v>
      </c>
      <c r="E59" s="451">
        <v>1</v>
      </c>
      <c r="F59" s="451">
        <v>1</v>
      </c>
      <c r="G59" s="451">
        <v>1</v>
      </c>
      <c r="H59" s="451">
        <v>1</v>
      </c>
      <c r="I59" s="460"/>
      <c r="J59" s="451">
        <v>1</v>
      </c>
      <c r="K59" s="451">
        <v>1</v>
      </c>
      <c r="L59" s="451">
        <v>1</v>
      </c>
      <c r="M59" s="451">
        <v>1</v>
      </c>
      <c r="N59" s="451">
        <v>1</v>
      </c>
      <c r="O59" s="179"/>
      <c r="P59" s="451">
        <v>1</v>
      </c>
      <c r="Q59" s="451">
        <v>1</v>
      </c>
      <c r="R59" s="451">
        <v>1</v>
      </c>
      <c r="S59" s="451">
        <v>1</v>
      </c>
      <c r="T59" s="451">
        <v>1</v>
      </c>
      <c r="U59" s="179"/>
      <c r="V59" s="451">
        <v>1</v>
      </c>
      <c r="W59" s="451">
        <v>1</v>
      </c>
      <c r="X59" s="451">
        <v>1</v>
      </c>
      <c r="Y59" s="451">
        <v>1</v>
      </c>
      <c r="Z59" s="451">
        <v>1</v>
      </c>
      <c r="AA59" s="179"/>
      <c r="AB59" s="451">
        <v>1</v>
      </c>
      <c r="AC59" s="451">
        <v>1</v>
      </c>
      <c r="AD59" s="451">
        <v>1</v>
      </c>
      <c r="AE59" s="451">
        <v>1</v>
      </c>
      <c r="AF59" s="451">
        <v>1</v>
      </c>
      <c r="AG59" s="179"/>
      <c r="AH59" s="451">
        <v>1</v>
      </c>
    </row>
    <row r="60" spans="1:34" x14ac:dyDescent="0.2">
      <c r="A60" s="469"/>
      <c r="B60" s="465"/>
      <c r="C60" s="465"/>
      <c r="D60" s="251"/>
      <c r="E60" s="451"/>
      <c r="F60" s="451"/>
      <c r="G60" s="451"/>
      <c r="H60" s="451"/>
      <c r="I60" s="460">
        <f>E60+F60+G60+H60</f>
        <v>0</v>
      </c>
      <c r="J60" s="451"/>
      <c r="K60" s="451"/>
      <c r="L60" s="451"/>
      <c r="M60" s="451"/>
      <c r="N60" s="451"/>
      <c r="O60" s="179"/>
      <c r="P60" s="451"/>
      <c r="Q60" s="451"/>
      <c r="R60" s="451"/>
      <c r="S60" s="451"/>
      <c r="T60" s="451"/>
      <c r="U60" s="179"/>
      <c r="V60" s="451"/>
      <c r="W60" s="451"/>
      <c r="X60" s="451"/>
      <c r="Y60" s="451"/>
      <c r="Z60" s="451"/>
      <c r="AA60" s="179"/>
      <c r="AB60" s="451"/>
      <c r="AC60" s="451"/>
      <c r="AD60" s="451"/>
      <c r="AE60" s="451"/>
      <c r="AF60" s="451"/>
      <c r="AG60" s="179"/>
      <c r="AH60" s="451"/>
    </row>
    <row r="61" spans="1:34" x14ac:dyDescent="0.2">
      <c r="A61" s="469"/>
      <c r="B61" s="465" t="s">
        <v>118</v>
      </c>
      <c r="C61" s="465"/>
      <c r="D61" s="251" t="s">
        <v>78</v>
      </c>
      <c r="E61" s="451">
        <v>1</v>
      </c>
      <c r="F61" s="451">
        <v>1</v>
      </c>
      <c r="G61" s="451">
        <v>1</v>
      </c>
      <c r="H61" s="451">
        <v>1</v>
      </c>
      <c r="I61" s="460"/>
      <c r="J61" s="451">
        <v>1</v>
      </c>
      <c r="K61" s="451">
        <v>1</v>
      </c>
      <c r="L61" s="451">
        <v>1</v>
      </c>
      <c r="M61" s="451">
        <v>1</v>
      </c>
      <c r="N61" s="451">
        <v>1</v>
      </c>
      <c r="O61" s="179"/>
      <c r="P61" s="451">
        <v>1</v>
      </c>
      <c r="Q61" s="451">
        <v>1</v>
      </c>
      <c r="R61" s="451">
        <v>1</v>
      </c>
      <c r="S61" s="451">
        <v>1</v>
      </c>
      <c r="T61" s="451">
        <v>1</v>
      </c>
      <c r="U61" s="179"/>
      <c r="V61" s="451">
        <v>1</v>
      </c>
      <c r="W61" s="451">
        <v>1</v>
      </c>
      <c r="X61" s="451">
        <v>1</v>
      </c>
      <c r="Y61" s="451">
        <v>1</v>
      </c>
      <c r="Z61" s="451">
        <v>1</v>
      </c>
      <c r="AA61" s="179"/>
      <c r="AB61" s="451">
        <v>1</v>
      </c>
      <c r="AC61" s="451">
        <v>1</v>
      </c>
      <c r="AD61" s="451">
        <v>1</v>
      </c>
      <c r="AE61" s="451">
        <v>1</v>
      </c>
      <c r="AF61" s="451">
        <v>1</v>
      </c>
      <c r="AG61" s="179"/>
      <c r="AH61" s="451">
        <v>1</v>
      </c>
    </row>
    <row r="62" spans="1:34" x14ac:dyDescent="0.2">
      <c r="A62" s="469"/>
      <c r="B62" s="465"/>
      <c r="C62" s="465"/>
      <c r="D62" s="251"/>
      <c r="E62" s="451"/>
      <c r="F62" s="451"/>
      <c r="G62" s="451"/>
      <c r="H62" s="451"/>
      <c r="I62" s="460">
        <f>F62</f>
        <v>0</v>
      </c>
      <c r="J62" s="451"/>
      <c r="K62" s="451"/>
      <c r="L62" s="451"/>
      <c r="M62" s="451"/>
      <c r="N62" s="451"/>
      <c r="O62" s="179"/>
      <c r="P62" s="451"/>
      <c r="Q62" s="451"/>
      <c r="R62" s="451"/>
      <c r="S62" s="451"/>
      <c r="T62" s="451"/>
      <c r="U62" s="179"/>
      <c r="V62" s="451"/>
      <c r="W62" s="451"/>
      <c r="X62" s="451"/>
      <c r="Y62" s="451"/>
      <c r="Z62" s="451"/>
      <c r="AA62" s="179"/>
      <c r="AB62" s="451"/>
      <c r="AC62" s="451"/>
      <c r="AD62" s="451"/>
      <c r="AE62" s="451"/>
      <c r="AF62" s="451"/>
      <c r="AG62" s="179"/>
      <c r="AH62" s="451"/>
    </row>
    <row r="63" spans="1:34" x14ac:dyDescent="0.2">
      <c r="A63" s="469"/>
      <c r="B63" s="465" t="s">
        <v>120</v>
      </c>
      <c r="C63" s="465"/>
      <c r="D63" s="251" t="s">
        <v>78</v>
      </c>
      <c r="E63" s="454">
        <v>2.5000000000000001E-3</v>
      </c>
      <c r="F63" s="454">
        <v>2.5000000000000001E-3</v>
      </c>
      <c r="G63" s="454">
        <v>2.5000000000000001E-3</v>
      </c>
      <c r="H63" s="454">
        <v>2.5000000000000001E-3</v>
      </c>
      <c r="I63" s="179"/>
      <c r="J63" s="454">
        <v>2.5000000000000001E-3</v>
      </c>
      <c r="K63" s="454">
        <v>2.3999999999999998E-3</v>
      </c>
      <c r="L63" s="454">
        <v>2.3999999999999998E-3</v>
      </c>
      <c r="M63" s="454">
        <v>2.3999999999999998E-3</v>
      </c>
      <c r="N63" s="454">
        <v>2.3999999999999998E-3</v>
      </c>
      <c r="O63" s="179"/>
      <c r="P63" s="454">
        <v>2.3999999999999998E-3</v>
      </c>
      <c r="Q63" s="454">
        <v>2.3E-3</v>
      </c>
      <c r="R63" s="454">
        <v>2.3E-3</v>
      </c>
      <c r="S63" s="454">
        <v>2.3E-3</v>
      </c>
      <c r="T63" s="454">
        <v>2.3E-3</v>
      </c>
      <c r="U63" s="179"/>
      <c r="V63" s="454">
        <v>2.3E-3</v>
      </c>
      <c r="W63" s="454">
        <v>2.2000000000000001E-3</v>
      </c>
      <c r="X63" s="454">
        <v>2.2000000000000001E-3</v>
      </c>
      <c r="Y63" s="454">
        <v>2.2000000000000001E-3</v>
      </c>
      <c r="Z63" s="454">
        <v>2.2000000000000001E-3</v>
      </c>
      <c r="AA63" s="179"/>
      <c r="AB63" s="454">
        <v>2.2000000000000001E-3</v>
      </c>
      <c r="AC63" s="454">
        <v>2E-3</v>
      </c>
      <c r="AD63" s="454">
        <v>2E-3</v>
      </c>
      <c r="AE63" s="454">
        <v>2E-3</v>
      </c>
      <c r="AF63" s="454">
        <v>2E-3</v>
      </c>
      <c r="AG63" s="179"/>
      <c r="AH63" s="454">
        <v>2E-3</v>
      </c>
    </row>
    <row r="64" spans="1:34" x14ac:dyDescent="0.2">
      <c r="A64" s="469"/>
      <c r="B64" s="294"/>
      <c r="C64" s="294"/>
      <c r="D64" s="251"/>
      <c r="E64" s="460"/>
      <c r="F64" s="460"/>
      <c r="G64" s="460"/>
      <c r="H64" s="460"/>
      <c r="I64" s="179"/>
      <c r="J64" s="460"/>
      <c r="K64" s="454"/>
      <c r="L64" s="454"/>
      <c r="M64" s="454"/>
      <c r="N64" s="454"/>
      <c r="O64" s="179"/>
      <c r="P64" s="454"/>
      <c r="Q64" s="454"/>
      <c r="R64" s="454"/>
      <c r="S64" s="454"/>
      <c r="T64" s="454"/>
      <c r="U64" s="179"/>
      <c r="V64" s="454"/>
      <c r="W64" s="454"/>
      <c r="X64" s="454"/>
      <c r="Y64" s="454"/>
      <c r="Z64" s="454"/>
      <c r="AA64" s="179"/>
      <c r="AB64" s="454"/>
      <c r="AC64" s="460"/>
      <c r="AD64" s="460"/>
      <c r="AE64" s="460"/>
      <c r="AF64" s="460"/>
      <c r="AG64" s="179"/>
      <c r="AH64" s="460"/>
    </row>
    <row r="65" spans="1:34" x14ac:dyDescent="0.2">
      <c r="A65" s="469"/>
      <c r="B65" s="465" t="s">
        <v>14</v>
      </c>
      <c r="C65" s="465"/>
      <c r="D65" s="251" t="s">
        <v>78</v>
      </c>
      <c r="E65" s="451">
        <v>0.25</v>
      </c>
      <c r="F65" s="451">
        <v>0.25</v>
      </c>
      <c r="G65" s="451">
        <v>0.25</v>
      </c>
      <c r="H65" s="451">
        <v>0.25</v>
      </c>
      <c r="I65" s="179"/>
      <c r="J65" s="451">
        <v>0.25</v>
      </c>
      <c r="K65" s="451">
        <v>0.24</v>
      </c>
      <c r="L65" s="451">
        <v>0.24</v>
      </c>
      <c r="M65" s="451">
        <v>0.24</v>
      </c>
      <c r="N65" s="451">
        <v>0.24</v>
      </c>
      <c r="O65" s="179"/>
      <c r="P65" s="451">
        <v>0.24</v>
      </c>
      <c r="Q65" s="451">
        <v>0.23</v>
      </c>
      <c r="R65" s="451">
        <v>0.23</v>
      </c>
      <c r="S65" s="451">
        <v>0.23</v>
      </c>
      <c r="T65" s="451">
        <v>0.23</v>
      </c>
      <c r="U65" s="179"/>
      <c r="V65" s="451">
        <v>0.23</v>
      </c>
      <c r="W65" s="451">
        <v>0.22</v>
      </c>
      <c r="X65" s="451">
        <v>0.22</v>
      </c>
      <c r="Y65" s="451">
        <v>0.22</v>
      </c>
      <c r="Z65" s="451">
        <v>0.22</v>
      </c>
      <c r="AA65" s="179"/>
      <c r="AB65" s="451">
        <v>0.22</v>
      </c>
      <c r="AC65" s="451">
        <v>0.2</v>
      </c>
      <c r="AD65" s="451">
        <v>0.2</v>
      </c>
      <c r="AE65" s="451">
        <v>0.2</v>
      </c>
      <c r="AF65" s="451">
        <v>0.2</v>
      </c>
      <c r="AG65" s="179"/>
      <c r="AH65" s="451">
        <v>0.2</v>
      </c>
    </row>
    <row r="66" spans="1:34" x14ac:dyDescent="0.2">
      <c r="A66" s="469"/>
      <c r="B66" s="465"/>
      <c r="C66" s="465"/>
      <c r="D66" s="251"/>
      <c r="E66" s="460"/>
      <c r="F66" s="460"/>
      <c r="G66" s="460"/>
      <c r="H66" s="460"/>
      <c r="I66" s="179"/>
      <c r="J66" s="460"/>
      <c r="K66" s="460"/>
      <c r="L66" s="460"/>
      <c r="M66" s="460"/>
      <c r="N66" s="460"/>
      <c r="O66" s="179"/>
      <c r="P66" s="460"/>
      <c r="Q66" s="460"/>
      <c r="R66" s="460"/>
      <c r="S66" s="460"/>
      <c r="T66" s="460"/>
      <c r="U66" s="179"/>
      <c r="V66" s="460"/>
      <c r="W66" s="460"/>
      <c r="X66" s="460"/>
      <c r="Y66" s="460"/>
      <c r="Z66" s="460"/>
      <c r="AA66" s="179"/>
      <c r="AB66" s="460"/>
      <c r="AC66" s="460"/>
      <c r="AD66" s="460"/>
      <c r="AE66" s="460"/>
      <c r="AF66" s="460"/>
      <c r="AG66" s="179"/>
      <c r="AH66" s="460"/>
    </row>
    <row r="67" spans="1:34" x14ac:dyDescent="0.2">
      <c r="A67" s="469"/>
      <c r="B67" s="478" t="s">
        <v>111</v>
      </c>
      <c r="C67" s="478"/>
      <c r="D67" s="251" t="s">
        <v>78</v>
      </c>
      <c r="E67" s="451">
        <v>1</v>
      </c>
      <c r="F67" s="451">
        <v>1</v>
      </c>
      <c r="G67" s="451">
        <v>1</v>
      </c>
      <c r="H67" s="451">
        <v>1</v>
      </c>
      <c r="I67" s="179"/>
      <c r="J67" s="451">
        <v>1</v>
      </c>
      <c r="K67" s="451">
        <v>1</v>
      </c>
      <c r="L67" s="451">
        <v>1</v>
      </c>
      <c r="M67" s="451">
        <v>1</v>
      </c>
      <c r="N67" s="451">
        <v>1</v>
      </c>
      <c r="O67" s="179"/>
      <c r="P67" s="451">
        <v>1</v>
      </c>
      <c r="Q67" s="451">
        <v>1</v>
      </c>
      <c r="R67" s="451">
        <v>1</v>
      </c>
      <c r="S67" s="451">
        <v>1</v>
      </c>
      <c r="T67" s="451">
        <v>1</v>
      </c>
      <c r="U67" s="179"/>
      <c r="V67" s="451">
        <v>1</v>
      </c>
      <c r="W67" s="451">
        <v>1</v>
      </c>
      <c r="X67" s="451">
        <v>1</v>
      </c>
      <c r="Y67" s="451">
        <v>1</v>
      </c>
      <c r="Z67" s="451">
        <v>1</v>
      </c>
      <c r="AA67" s="179"/>
      <c r="AB67" s="451">
        <v>1</v>
      </c>
      <c r="AC67" s="451">
        <v>1</v>
      </c>
      <c r="AD67" s="451">
        <v>1</v>
      </c>
      <c r="AE67" s="451">
        <v>1</v>
      </c>
      <c r="AF67" s="451">
        <v>1</v>
      </c>
      <c r="AG67" s="179"/>
      <c r="AH67" s="451">
        <v>1</v>
      </c>
    </row>
    <row r="68" spans="1:34" x14ac:dyDescent="0.2">
      <c r="A68" s="469"/>
      <c r="B68" s="478"/>
      <c r="C68" s="478"/>
      <c r="D68" s="251"/>
      <c r="E68" s="451"/>
      <c r="F68" s="451"/>
      <c r="G68" s="451"/>
      <c r="H68" s="451"/>
      <c r="I68" s="179"/>
      <c r="J68" s="451"/>
      <c r="K68" s="451"/>
      <c r="L68" s="451"/>
      <c r="M68" s="451"/>
      <c r="N68" s="451"/>
      <c r="O68" s="179"/>
      <c r="P68" s="451"/>
      <c r="Q68" s="451"/>
      <c r="R68" s="451"/>
      <c r="S68" s="451"/>
      <c r="T68" s="451"/>
      <c r="U68" s="179"/>
      <c r="V68" s="451"/>
      <c r="W68" s="451"/>
      <c r="X68" s="451"/>
      <c r="Y68" s="451"/>
      <c r="Z68" s="451"/>
      <c r="AA68" s="179"/>
      <c r="AB68" s="451"/>
      <c r="AC68" s="451"/>
      <c r="AD68" s="451"/>
      <c r="AE68" s="451"/>
      <c r="AF68" s="451"/>
      <c r="AG68" s="179"/>
      <c r="AH68" s="451"/>
    </row>
    <row r="69" spans="1:34" x14ac:dyDescent="0.2">
      <c r="A69" s="469"/>
      <c r="B69" s="465" t="s">
        <v>15</v>
      </c>
      <c r="C69" s="465"/>
      <c r="D69" s="251" t="s">
        <v>78</v>
      </c>
      <c r="E69" s="454">
        <v>7.0000000000000001E-3</v>
      </c>
      <c r="F69" s="454">
        <v>7.0000000000000001E-3</v>
      </c>
      <c r="G69" s="454">
        <v>7.0000000000000001E-3</v>
      </c>
      <c r="H69" s="454">
        <v>7.0000000000000001E-3</v>
      </c>
      <c r="I69" s="179"/>
      <c r="J69" s="454">
        <v>7.0000000000000001E-3</v>
      </c>
      <c r="K69" s="454">
        <v>6.8999999999999999E-3</v>
      </c>
      <c r="L69" s="454">
        <v>6.8999999999999999E-3</v>
      </c>
      <c r="M69" s="454">
        <v>6.8999999999999999E-3</v>
      </c>
      <c r="N69" s="454">
        <v>6.8999999999999999E-3</v>
      </c>
      <c r="O69" s="179"/>
      <c r="P69" s="454">
        <v>6.8999999999999999E-3</v>
      </c>
      <c r="Q69" s="454">
        <v>6.7999999999999996E-3</v>
      </c>
      <c r="R69" s="454">
        <v>6.7999999999999996E-3</v>
      </c>
      <c r="S69" s="454">
        <v>6.7999999999999996E-3</v>
      </c>
      <c r="T69" s="454">
        <v>6.7999999999999996E-3</v>
      </c>
      <c r="U69" s="179"/>
      <c r="V69" s="454">
        <v>6.7999999999999996E-3</v>
      </c>
      <c r="W69" s="454">
        <v>6.7000000000000002E-3</v>
      </c>
      <c r="X69" s="454">
        <v>6.7000000000000002E-3</v>
      </c>
      <c r="Y69" s="454">
        <v>6.7000000000000002E-3</v>
      </c>
      <c r="Z69" s="454">
        <v>6.7000000000000002E-3</v>
      </c>
      <c r="AA69" s="179"/>
      <c r="AB69" s="454">
        <v>6.7000000000000002E-3</v>
      </c>
      <c r="AC69" s="454">
        <v>6.4999999999999997E-3</v>
      </c>
      <c r="AD69" s="454">
        <v>6.4999999999999997E-3</v>
      </c>
      <c r="AE69" s="454">
        <v>6.4999999999999997E-3</v>
      </c>
      <c r="AF69" s="454">
        <v>6.4999999999999997E-3</v>
      </c>
      <c r="AG69" s="179"/>
      <c r="AH69" s="454">
        <v>6.4999999999999997E-3</v>
      </c>
    </row>
    <row r="70" spans="1:34" x14ac:dyDescent="0.2">
      <c r="A70" s="469"/>
      <c r="B70" s="465"/>
      <c r="C70" s="465"/>
      <c r="D70" s="251"/>
      <c r="E70" s="460"/>
      <c r="F70" s="460"/>
      <c r="G70" s="460"/>
      <c r="H70" s="460"/>
      <c r="I70" s="179"/>
      <c r="J70" s="460"/>
      <c r="K70" s="460"/>
      <c r="L70" s="460"/>
      <c r="M70" s="460"/>
      <c r="N70" s="460"/>
      <c r="O70" s="179"/>
      <c r="P70" s="460"/>
      <c r="Q70" s="460"/>
      <c r="R70" s="460"/>
      <c r="S70" s="460"/>
      <c r="T70" s="460"/>
      <c r="U70" s="179"/>
      <c r="V70" s="460"/>
      <c r="W70" s="460"/>
      <c r="X70" s="460"/>
      <c r="Y70" s="460"/>
      <c r="Z70" s="460"/>
      <c r="AA70" s="179"/>
      <c r="AB70" s="460"/>
      <c r="AC70" s="460"/>
      <c r="AD70" s="460"/>
      <c r="AE70" s="460"/>
      <c r="AF70" s="460"/>
      <c r="AG70" s="179"/>
      <c r="AH70" s="460"/>
    </row>
    <row r="71" spans="1:34" x14ac:dyDescent="0.2">
      <c r="A71" s="265"/>
      <c r="B71" s="489" t="s">
        <v>124</v>
      </c>
      <c r="C71" s="489"/>
      <c r="D71" s="295" t="s">
        <v>94</v>
      </c>
      <c r="E71" s="461" t="s">
        <v>125</v>
      </c>
      <c r="F71" s="461" t="s">
        <v>125</v>
      </c>
      <c r="G71" s="461" t="s">
        <v>125</v>
      </c>
      <c r="H71" s="461" t="s">
        <v>125</v>
      </c>
      <c r="I71" s="179"/>
      <c r="J71" s="461" t="s">
        <v>125</v>
      </c>
      <c r="K71" s="461" t="s">
        <v>125</v>
      </c>
      <c r="L71" s="461" t="s">
        <v>125</v>
      </c>
      <c r="M71" s="461" t="s">
        <v>125</v>
      </c>
      <c r="N71" s="461" t="s">
        <v>125</v>
      </c>
      <c r="O71" s="179"/>
      <c r="P71" s="461" t="s">
        <v>125</v>
      </c>
      <c r="Q71" s="461" t="s">
        <v>125</v>
      </c>
      <c r="R71" s="461" t="s">
        <v>125</v>
      </c>
      <c r="S71" s="461" t="s">
        <v>125</v>
      </c>
      <c r="T71" s="461" t="s">
        <v>125</v>
      </c>
      <c r="U71" s="179"/>
      <c r="V71" s="461" t="s">
        <v>125</v>
      </c>
      <c r="W71" s="461" t="s">
        <v>125</v>
      </c>
      <c r="X71" s="461" t="s">
        <v>125</v>
      </c>
      <c r="Y71" s="461" t="s">
        <v>125</v>
      </c>
      <c r="Z71" s="461" t="s">
        <v>125</v>
      </c>
      <c r="AA71" s="179"/>
      <c r="AB71" s="461" t="s">
        <v>125</v>
      </c>
      <c r="AC71" s="461" t="s">
        <v>125</v>
      </c>
      <c r="AD71" s="461" t="s">
        <v>125</v>
      </c>
      <c r="AE71" s="461" t="s">
        <v>125</v>
      </c>
      <c r="AF71" s="461" t="s">
        <v>125</v>
      </c>
      <c r="AG71" s="179"/>
      <c r="AH71" s="461" t="s">
        <v>125</v>
      </c>
    </row>
    <row r="72" spans="1:34" x14ac:dyDescent="0.2">
      <c r="A72" s="265"/>
      <c r="B72" s="489"/>
      <c r="C72" s="489"/>
      <c r="D72" s="295"/>
      <c r="E72" s="259"/>
      <c r="F72" s="259"/>
      <c r="G72" s="259"/>
      <c r="H72" s="259"/>
      <c r="I72" s="179"/>
      <c r="J72" s="259"/>
      <c r="K72" s="259"/>
      <c r="L72" s="259"/>
      <c r="M72" s="259"/>
      <c r="N72" s="259"/>
      <c r="O72" s="179"/>
      <c r="P72" s="259"/>
      <c r="Q72" s="259"/>
      <c r="R72" s="259"/>
      <c r="S72" s="259"/>
      <c r="T72" s="259"/>
      <c r="U72" s="179"/>
      <c r="V72" s="259"/>
      <c r="W72" s="259"/>
      <c r="X72" s="259"/>
      <c r="Y72" s="259"/>
      <c r="Z72" s="259"/>
      <c r="AA72" s="179"/>
      <c r="AB72" s="259"/>
      <c r="AC72" s="259"/>
      <c r="AD72" s="259"/>
      <c r="AE72" s="259"/>
      <c r="AF72" s="259"/>
      <c r="AG72" s="179"/>
      <c r="AH72" s="259"/>
    </row>
    <row r="73" spans="1:34" x14ac:dyDescent="0.2">
      <c r="A73" s="176">
        <v>1.4</v>
      </c>
      <c r="B73" s="457" t="s">
        <v>16</v>
      </c>
      <c r="C73" s="458"/>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469"/>
      <c r="B74" s="465" t="s">
        <v>17</v>
      </c>
      <c r="C74" s="465"/>
      <c r="D74" s="252" t="s">
        <v>78</v>
      </c>
      <c r="E74" s="454">
        <v>0.01</v>
      </c>
      <c r="F74" s="454">
        <v>0.01</v>
      </c>
      <c r="G74" s="454">
        <v>0.01</v>
      </c>
      <c r="H74" s="454">
        <v>0.01</v>
      </c>
      <c r="I74" s="188"/>
      <c r="J74" s="454">
        <v>0.01</v>
      </c>
      <c r="K74" s="454">
        <v>9.7999999999999997E-3</v>
      </c>
      <c r="L74" s="454">
        <v>9.7999999999999997E-3</v>
      </c>
      <c r="M74" s="454">
        <v>9.7999999999999997E-3</v>
      </c>
      <c r="N74" s="454">
        <v>9.7999999999999997E-3</v>
      </c>
      <c r="O74" s="187"/>
      <c r="P74" s="454">
        <v>9.7999999999999997E-3</v>
      </c>
      <c r="Q74" s="454">
        <v>9.5999999999999992E-3</v>
      </c>
      <c r="R74" s="454">
        <v>9.5999999999999992E-3</v>
      </c>
      <c r="S74" s="454">
        <v>9.5999999999999992E-3</v>
      </c>
      <c r="T74" s="454">
        <v>9.5999999999999992E-3</v>
      </c>
      <c r="U74" s="187"/>
      <c r="V74" s="454">
        <v>9.5999999999999992E-3</v>
      </c>
      <c r="W74" s="454">
        <v>9.4000000000000004E-3</v>
      </c>
      <c r="X74" s="454">
        <v>9.4000000000000004E-3</v>
      </c>
      <c r="Y74" s="454">
        <v>9.4000000000000004E-3</v>
      </c>
      <c r="Z74" s="454">
        <v>9.4000000000000004E-3</v>
      </c>
      <c r="AA74" s="187"/>
      <c r="AB74" s="454">
        <v>9.4000000000000004E-3</v>
      </c>
      <c r="AC74" s="454">
        <v>9.1999999999999998E-3</v>
      </c>
      <c r="AD74" s="454">
        <v>9.1999999999999998E-3</v>
      </c>
      <c r="AE74" s="454">
        <v>9.1999999999999998E-3</v>
      </c>
      <c r="AF74" s="454">
        <v>9.1999999999999998E-3</v>
      </c>
      <c r="AG74" s="187"/>
      <c r="AH74" s="454">
        <v>9.1999999999999998E-3</v>
      </c>
    </row>
    <row r="75" spans="1:34" x14ac:dyDescent="0.2">
      <c r="A75" s="469"/>
      <c r="B75" s="465"/>
      <c r="C75" s="465"/>
      <c r="D75" s="252"/>
      <c r="E75" s="454"/>
      <c r="F75" s="454"/>
      <c r="G75" s="454"/>
      <c r="H75" s="454"/>
      <c r="I75" s="179"/>
      <c r="J75" s="454"/>
      <c r="K75" s="454"/>
      <c r="L75" s="454"/>
      <c r="M75" s="454"/>
      <c r="N75" s="454"/>
      <c r="O75" s="187"/>
      <c r="P75" s="454"/>
      <c r="Q75" s="454"/>
      <c r="R75" s="454"/>
      <c r="S75" s="454"/>
      <c r="T75" s="454"/>
      <c r="U75" s="187"/>
      <c r="V75" s="454"/>
      <c r="W75" s="454"/>
      <c r="X75" s="454"/>
      <c r="Y75" s="454"/>
      <c r="Z75" s="454"/>
      <c r="AA75" s="187"/>
      <c r="AB75" s="454"/>
      <c r="AC75" s="454"/>
      <c r="AD75" s="454"/>
      <c r="AE75" s="454"/>
      <c r="AF75" s="454"/>
      <c r="AG75" s="187"/>
      <c r="AH75" s="454"/>
    </row>
    <row r="76" spans="1:34" x14ac:dyDescent="0.2">
      <c r="A76" s="469"/>
      <c r="B76" s="477" t="s">
        <v>82</v>
      </c>
      <c r="C76" s="477"/>
      <c r="D76" s="28" t="s">
        <v>78</v>
      </c>
      <c r="E76" s="185">
        <v>0.33</v>
      </c>
      <c r="F76" s="185">
        <v>0.33</v>
      </c>
      <c r="G76" s="185">
        <v>0.33</v>
      </c>
      <c r="H76" s="185">
        <v>0.33</v>
      </c>
      <c r="I76" s="179"/>
      <c r="J76" s="185">
        <v>0.33</v>
      </c>
      <c r="K76" s="185">
        <v>0.33</v>
      </c>
      <c r="L76" s="185">
        <v>0.33</v>
      </c>
      <c r="M76" s="185">
        <v>0.33</v>
      </c>
      <c r="N76" s="185">
        <v>0.33</v>
      </c>
      <c r="O76" s="179"/>
      <c r="P76" s="185">
        <v>0.33</v>
      </c>
      <c r="Q76" s="185">
        <v>0.33</v>
      </c>
      <c r="R76" s="185">
        <v>0.33</v>
      </c>
      <c r="S76" s="185">
        <v>0.33</v>
      </c>
      <c r="T76" s="185">
        <v>0.33</v>
      </c>
      <c r="U76" s="179"/>
      <c r="V76" s="185">
        <v>0.33</v>
      </c>
      <c r="W76" s="185">
        <v>0.33</v>
      </c>
      <c r="X76" s="185">
        <v>0.33</v>
      </c>
      <c r="Y76" s="185">
        <v>0.33</v>
      </c>
      <c r="Z76" s="185">
        <v>0.33</v>
      </c>
      <c r="AA76" s="179"/>
      <c r="AB76" s="185">
        <v>0.33</v>
      </c>
      <c r="AC76" s="185">
        <v>0.33</v>
      </c>
      <c r="AD76" s="185">
        <v>0.33</v>
      </c>
      <c r="AE76" s="185">
        <v>0.33</v>
      </c>
      <c r="AF76" s="185">
        <v>0.33</v>
      </c>
      <c r="AG76" s="179"/>
      <c r="AH76" s="185">
        <v>0.33</v>
      </c>
    </row>
    <row r="77" spans="1:34" x14ac:dyDescent="0.2">
      <c r="A77" s="469"/>
      <c r="B77" s="477" t="s">
        <v>83</v>
      </c>
      <c r="C77" s="477"/>
      <c r="D77" s="28" t="s">
        <v>78</v>
      </c>
      <c r="E77" s="185">
        <v>0.15</v>
      </c>
      <c r="F77" s="185">
        <v>0.15</v>
      </c>
      <c r="G77" s="185">
        <v>0.15</v>
      </c>
      <c r="H77" s="185">
        <v>0.15</v>
      </c>
      <c r="I77" s="179"/>
      <c r="J77" s="185">
        <v>0.15</v>
      </c>
      <c r="K77" s="185">
        <v>0.14000000000000001</v>
      </c>
      <c r="L77" s="185">
        <v>0.14000000000000001</v>
      </c>
      <c r="M77" s="185">
        <v>0.14000000000000001</v>
      </c>
      <c r="N77" s="185">
        <v>0.14000000000000001</v>
      </c>
      <c r="O77" s="179"/>
      <c r="P77" s="185">
        <v>0.14000000000000001</v>
      </c>
      <c r="Q77" s="185">
        <v>0.13</v>
      </c>
      <c r="R77" s="185">
        <v>0.13</v>
      </c>
      <c r="S77" s="185">
        <v>0.13</v>
      </c>
      <c r="T77" s="185">
        <v>0.13</v>
      </c>
      <c r="U77" s="179"/>
      <c r="V77" s="185">
        <v>0.13</v>
      </c>
      <c r="W77" s="185">
        <v>0.12</v>
      </c>
      <c r="X77" s="185">
        <v>0.12</v>
      </c>
      <c r="Y77" s="185">
        <v>0.12</v>
      </c>
      <c r="Z77" s="185">
        <v>0.12</v>
      </c>
      <c r="AA77" s="179"/>
      <c r="AB77" s="185">
        <v>0.12</v>
      </c>
      <c r="AC77" s="185">
        <v>0.1</v>
      </c>
      <c r="AD77" s="185">
        <v>0.1</v>
      </c>
      <c r="AE77" s="185">
        <v>0.1</v>
      </c>
      <c r="AF77" s="185">
        <v>0.1</v>
      </c>
      <c r="AG77" s="179"/>
      <c r="AH77" s="185">
        <v>0.1</v>
      </c>
    </row>
    <row r="78" spans="1:34" x14ac:dyDescent="0.2">
      <c r="A78" s="469"/>
      <c r="B78" s="465" t="s">
        <v>18</v>
      </c>
      <c r="C78" s="465"/>
      <c r="D78" s="272" t="s">
        <v>78</v>
      </c>
      <c r="E78" s="451">
        <v>0.85</v>
      </c>
      <c r="F78" s="451">
        <v>0.85</v>
      </c>
      <c r="G78" s="451">
        <v>0.85</v>
      </c>
      <c r="H78" s="451">
        <v>0.85</v>
      </c>
      <c r="I78" s="179"/>
      <c r="J78" s="451">
        <v>0.85</v>
      </c>
      <c r="K78" s="451">
        <v>0.85</v>
      </c>
      <c r="L78" s="451">
        <v>0.85</v>
      </c>
      <c r="M78" s="451">
        <v>0.85</v>
      </c>
      <c r="N78" s="451">
        <v>0.85</v>
      </c>
      <c r="O78" s="179"/>
      <c r="P78" s="451">
        <v>0.85</v>
      </c>
      <c r="Q78" s="451">
        <v>0.85</v>
      </c>
      <c r="R78" s="451">
        <v>0.85</v>
      </c>
      <c r="S78" s="451">
        <v>0.85</v>
      </c>
      <c r="T78" s="451">
        <v>0.85</v>
      </c>
      <c r="U78" s="179"/>
      <c r="V78" s="451">
        <v>0.85</v>
      </c>
      <c r="W78" s="451">
        <v>0.85</v>
      </c>
      <c r="X78" s="451">
        <v>0.85</v>
      </c>
      <c r="Y78" s="451">
        <v>0.85</v>
      </c>
      <c r="Z78" s="451">
        <v>0.85</v>
      </c>
      <c r="AA78" s="179"/>
      <c r="AB78" s="451">
        <v>0.85</v>
      </c>
      <c r="AC78" s="451">
        <v>0.85</v>
      </c>
      <c r="AD78" s="451">
        <v>0.85</v>
      </c>
      <c r="AE78" s="451">
        <v>0.85</v>
      </c>
      <c r="AF78" s="451">
        <v>0.85</v>
      </c>
      <c r="AG78" s="179"/>
      <c r="AH78" s="451">
        <v>0.85</v>
      </c>
    </row>
    <row r="79" spans="1:34" x14ac:dyDescent="0.2">
      <c r="A79" s="469"/>
      <c r="B79" s="465"/>
      <c r="C79" s="465"/>
      <c r="D79" s="251"/>
      <c r="E79" s="451"/>
      <c r="F79" s="451"/>
      <c r="G79" s="451"/>
      <c r="H79" s="451"/>
      <c r="I79" s="179"/>
      <c r="J79" s="451"/>
      <c r="K79" s="451"/>
      <c r="L79" s="451"/>
      <c r="M79" s="451"/>
      <c r="N79" s="451"/>
      <c r="O79" s="179"/>
      <c r="P79" s="451"/>
      <c r="Q79" s="451"/>
      <c r="R79" s="451"/>
      <c r="S79" s="451"/>
      <c r="T79" s="451"/>
      <c r="U79" s="179"/>
      <c r="V79" s="451"/>
      <c r="W79" s="451"/>
      <c r="X79" s="451"/>
      <c r="Y79" s="451"/>
      <c r="Z79" s="451"/>
      <c r="AA79" s="179"/>
      <c r="AB79" s="451"/>
      <c r="AC79" s="451"/>
      <c r="AD79" s="451"/>
      <c r="AE79" s="451"/>
      <c r="AF79" s="451"/>
      <c r="AG79" s="179"/>
      <c r="AH79" s="451"/>
    </row>
    <row r="80" spans="1:34" x14ac:dyDescent="0.2">
      <c r="A80" s="176">
        <v>1.5</v>
      </c>
      <c r="B80" s="457" t="s">
        <v>19</v>
      </c>
      <c r="C80" s="458"/>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189" t="s">
        <v>41</v>
      </c>
      <c r="B81" s="462" t="s">
        <v>20</v>
      </c>
      <c r="C81" s="462"/>
      <c r="D81" s="204"/>
      <c r="E81" s="184"/>
      <c r="F81" s="184"/>
      <c r="G81" s="184"/>
      <c r="H81" s="184"/>
      <c r="I81" s="202"/>
      <c r="J81" s="202"/>
      <c r="K81" s="184"/>
      <c r="L81" s="184"/>
      <c r="M81" s="184"/>
      <c r="N81" s="184"/>
      <c r="O81" s="202"/>
      <c r="P81" s="202"/>
      <c r="Q81" s="184"/>
      <c r="R81" s="184"/>
      <c r="S81" s="184"/>
      <c r="T81" s="184"/>
      <c r="U81" s="202"/>
      <c r="V81" s="202"/>
      <c r="W81" s="184"/>
      <c r="X81" s="184"/>
      <c r="Y81" s="184"/>
      <c r="Z81" s="184"/>
      <c r="AA81" s="202"/>
      <c r="AB81" s="202"/>
      <c r="AC81" s="184"/>
      <c r="AD81" s="184"/>
      <c r="AE81" s="184"/>
      <c r="AF81" s="184"/>
      <c r="AG81" s="202"/>
      <c r="AH81" s="202"/>
    </row>
    <row r="82" spans="1:34" ht="49.8" customHeight="1" x14ac:dyDescent="0.2">
      <c r="A82" s="469"/>
      <c r="B82" s="465" t="s">
        <v>95</v>
      </c>
      <c r="C82" s="287"/>
      <c r="D82" s="24" t="s">
        <v>135</v>
      </c>
      <c r="E82" s="190">
        <v>2</v>
      </c>
      <c r="F82" s="190">
        <v>2</v>
      </c>
      <c r="G82" s="190">
        <v>2</v>
      </c>
      <c r="H82" s="190">
        <v>2</v>
      </c>
      <c r="I82" s="190"/>
      <c r="J82" s="190">
        <v>8</v>
      </c>
      <c r="K82" s="190">
        <v>2</v>
      </c>
      <c r="L82" s="190">
        <v>2</v>
      </c>
      <c r="M82" s="190">
        <v>2</v>
      </c>
      <c r="N82" s="190">
        <v>2</v>
      </c>
      <c r="O82" s="206"/>
      <c r="P82" s="190">
        <v>8</v>
      </c>
      <c r="Q82" s="206">
        <v>2</v>
      </c>
      <c r="R82" s="206">
        <v>2</v>
      </c>
      <c r="S82" s="206">
        <v>2</v>
      </c>
      <c r="T82" s="206">
        <v>2</v>
      </c>
      <c r="U82" s="190"/>
      <c r="V82" s="190">
        <v>8</v>
      </c>
      <c r="W82" s="206">
        <v>2</v>
      </c>
      <c r="X82" s="206">
        <v>2</v>
      </c>
      <c r="Y82" s="206">
        <v>2</v>
      </c>
      <c r="Z82" s="206">
        <v>2</v>
      </c>
      <c r="AA82" s="206"/>
      <c r="AB82" s="190">
        <v>8</v>
      </c>
      <c r="AC82" s="206">
        <v>2</v>
      </c>
      <c r="AD82" s="206">
        <v>2</v>
      </c>
      <c r="AE82" s="206">
        <v>2</v>
      </c>
      <c r="AF82" s="206">
        <v>2</v>
      </c>
      <c r="AG82" s="190"/>
      <c r="AH82" s="190">
        <v>8</v>
      </c>
    </row>
    <row r="83" spans="1:34" x14ac:dyDescent="0.2">
      <c r="A83" s="469"/>
      <c r="B83" s="465" t="s">
        <v>84</v>
      </c>
      <c r="C83" s="476" t="s">
        <v>6</v>
      </c>
      <c r="D83" s="272" t="s">
        <v>78</v>
      </c>
      <c r="E83" s="451">
        <v>0.5</v>
      </c>
      <c r="F83" s="451">
        <v>0.5</v>
      </c>
      <c r="G83" s="451">
        <v>0.5</v>
      </c>
      <c r="H83" s="451">
        <v>0.5</v>
      </c>
      <c r="I83" s="188"/>
      <c r="J83" s="451">
        <v>0.5</v>
      </c>
      <c r="K83" s="451">
        <v>0.49</v>
      </c>
      <c r="L83" s="451">
        <v>0.49</v>
      </c>
      <c r="M83" s="451">
        <v>0.49</v>
      </c>
      <c r="N83" s="451">
        <v>0.49</v>
      </c>
      <c r="O83" s="188"/>
      <c r="P83" s="451">
        <v>0.49</v>
      </c>
      <c r="Q83" s="451">
        <v>0.48</v>
      </c>
      <c r="R83" s="451">
        <v>0.48</v>
      </c>
      <c r="S83" s="451">
        <v>0.48</v>
      </c>
      <c r="T83" s="451">
        <v>0.48</v>
      </c>
      <c r="U83" s="188"/>
      <c r="V83" s="451">
        <v>0.48</v>
      </c>
      <c r="W83" s="451">
        <v>0.47</v>
      </c>
      <c r="X83" s="451">
        <v>0.47</v>
      </c>
      <c r="Y83" s="451">
        <v>0.47</v>
      </c>
      <c r="Z83" s="451">
        <v>0.47</v>
      </c>
      <c r="AA83" s="186"/>
      <c r="AB83" s="451">
        <v>0.47</v>
      </c>
      <c r="AC83" s="451">
        <v>0.45</v>
      </c>
      <c r="AD83" s="451">
        <v>0.45</v>
      </c>
      <c r="AE83" s="451">
        <v>0.45</v>
      </c>
      <c r="AF83" s="451">
        <v>0.45</v>
      </c>
      <c r="AG83" s="188"/>
      <c r="AH83" s="451">
        <v>0.45</v>
      </c>
    </row>
    <row r="84" spans="1:34" x14ac:dyDescent="0.2">
      <c r="A84" s="469"/>
      <c r="B84" s="465"/>
      <c r="C84" s="476"/>
      <c r="D84" s="251"/>
      <c r="E84" s="451"/>
      <c r="F84" s="451"/>
      <c r="G84" s="451"/>
      <c r="H84" s="451"/>
      <c r="I84" s="188"/>
      <c r="J84" s="451"/>
      <c r="K84" s="451"/>
      <c r="L84" s="451"/>
      <c r="M84" s="451"/>
      <c r="N84" s="451"/>
      <c r="O84" s="188"/>
      <c r="P84" s="451"/>
      <c r="Q84" s="451"/>
      <c r="R84" s="451"/>
      <c r="S84" s="451"/>
      <c r="T84" s="451"/>
      <c r="U84" s="188"/>
      <c r="V84" s="451"/>
      <c r="W84" s="451"/>
      <c r="X84" s="451"/>
      <c r="Y84" s="451"/>
      <c r="Z84" s="451"/>
      <c r="AA84" s="186"/>
      <c r="AB84" s="451"/>
      <c r="AC84" s="451"/>
      <c r="AD84" s="451"/>
      <c r="AE84" s="451"/>
      <c r="AF84" s="451"/>
      <c r="AG84" s="188"/>
      <c r="AH84" s="451"/>
    </row>
    <row r="85" spans="1:34" x14ac:dyDescent="0.2">
      <c r="A85" s="469"/>
      <c r="B85" s="465"/>
      <c r="C85" s="476" t="s">
        <v>7</v>
      </c>
      <c r="D85" s="272" t="s">
        <v>78</v>
      </c>
      <c r="E85" s="451">
        <v>0.25</v>
      </c>
      <c r="F85" s="451">
        <v>0.25</v>
      </c>
      <c r="G85" s="451">
        <v>0.25</v>
      </c>
      <c r="H85" s="451">
        <v>0.25</v>
      </c>
      <c r="I85" s="188"/>
      <c r="J85" s="451">
        <v>0.25</v>
      </c>
      <c r="K85" s="451">
        <v>0.24</v>
      </c>
      <c r="L85" s="451">
        <v>0.24</v>
      </c>
      <c r="M85" s="451">
        <v>0.24</v>
      </c>
      <c r="N85" s="451">
        <v>0.24</v>
      </c>
      <c r="O85" s="188"/>
      <c r="P85" s="451">
        <v>0.24</v>
      </c>
      <c r="Q85" s="451">
        <v>0.23</v>
      </c>
      <c r="R85" s="451">
        <v>0.23</v>
      </c>
      <c r="S85" s="451">
        <v>0.23</v>
      </c>
      <c r="T85" s="451">
        <v>0.23</v>
      </c>
      <c r="U85" s="188"/>
      <c r="V85" s="451">
        <v>0.23</v>
      </c>
      <c r="W85" s="451">
        <v>0.22</v>
      </c>
      <c r="X85" s="451">
        <v>0.22</v>
      </c>
      <c r="Y85" s="451">
        <v>0.22</v>
      </c>
      <c r="Z85" s="451">
        <v>0.22</v>
      </c>
      <c r="AA85" s="186"/>
      <c r="AB85" s="451">
        <v>0.22</v>
      </c>
      <c r="AC85" s="451">
        <v>0.2</v>
      </c>
      <c r="AD85" s="451">
        <v>0.2</v>
      </c>
      <c r="AE85" s="451">
        <v>0.2</v>
      </c>
      <c r="AF85" s="451">
        <v>0.2</v>
      </c>
      <c r="AG85" s="188"/>
      <c r="AH85" s="451">
        <v>0.2</v>
      </c>
    </row>
    <row r="86" spans="1:34" x14ac:dyDescent="0.2">
      <c r="A86" s="469"/>
      <c r="B86" s="465"/>
      <c r="C86" s="476"/>
      <c r="D86" s="251"/>
      <c r="E86" s="451"/>
      <c r="F86" s="451"/>
      <c r="G86" s="451"/>
      <c r="H86" s="451"/>
      <c r="I86" s="188"/>
      <c r="J86" s="451"/>
      <c r="K86" s="451"/>
      <c r="L86" s="451"/>
      <c r="M86" s="451"/>
      <c r="N86" s="451"/>
      <c r="O86" s="188"/>
      <c r="P86" s="451"/>
      <c r="Q86" s="451"/>
      <c r="R86" s="451"/>
      <c r="S86" s="451"/>
      <c r="T86" s="451"/>
      <c r="U86" s="188"/>
      <c r="V86" s="451"/>
      <c r="W86" s="451"/>
      <c r="X86" s="451"/>
      <c r="Y86" s="451"/>
      <c r="Z86" s="451"/>
      <c r="AA86" s="186"/>
      <c r="AB86" s="451"/>
      <c r="AC86" s="451"/>
      <c r="AD86" s="451"/>
      <c r="AE86" s="451"/>
      <c r="AF86" s="451"/>
      <c r="AG86" s="188"/>
      <c r="AH86" s="451"/>
    </row>
    <row r="87" spans="1:34" x14ac:dyDescent="0.2">
      <c r="A87" s="469"/>
      <c r="B87" s="465"/>
      <c r="C87" s="476" t="s">
        <v>8</v>
      </c>
      <c r="D87" s="272" t="s">
        <v>78</v>
      </c>
      <c r="E87" s="451">
        <v>0.3</v>
      </c>
      <c r="F87" s="451">
        <v>0.3</v>
      </c>
      <c r="G87" s="451">
        <v>0.3</v>
      </c>
      <c r="H87" s="451">
        <v>0.3</v>
      </c>
      <c r="I87" s="188"/>
      <c r="J87" s="451">
        <v>0.3</v>
      </c>
      <c r="K87" s="451">
        <v>0.28999999999999998</v>
      </c>
      <c r="L87" s="451">
        <v>0.28999999999999998</v>
      </c>
      <c r="M87" s="451">
        <v>0.28999999999999998</v>
      </c>
      <c r="N87" s="451">
        <v>0.28999999999999998</v>
      </c>
      <c r="O87" s="188"/>
      <c r="P87" s="451">
        <v>0.28999999999999998</v>
      </c>
      <c r="Q87" s="451">
        <v>0.28000000000000003</v>
      </c>
      <c r="R87" s="451">
        <v>0.28000000000000003</v>
      </c>
      <c r="S87" s="451">
        <v>0.28000000000000003</v>
      </c>
      <c r="T87" s="451">
        <v>0.28000000000000003</v>
      </c>
      <c r="U87" s="188"/>
      <c r="V87" s="451">
        <v>0.28000000000000003</v>
      </c>
      <c r="W87" s="451">
        <v>0.27</v>
      </c>
      <c r="X87" s="451">
        <v>0.27</v>
      </c>
      <c r="Y87" s="451">
        <v>0.27</v>
      </c>
      <c r="Z87" s="451">
        <v>0.27</v>
      </c>
      <c r="AA87" s="186"/>
      <c r="AB87" s="451">
        <v>0.27</v>
      </c>
      <c r="AC87" s="451">
        <v>0.25</v>
      </c>
      <c r="AD87" s="451">
        <v>0.25</v>
      </c>
      <c r="AE87" s="451">
        <v>0.25</v>
      </c>
      <c r="AF87" s="451">
        <v>0.25</v>
      </c>
      <c r="AG87" s="188"/>
      <c r="AH87" s="451">
        <v>0.25</v>
      </c>
    </row>
    <row r="88" spans="1:34" x14ac:dyDescent="0.2">
      <c r="A88" s="469"/>
      <c r="B88" s="465"/>
      <c r="C88" s="476"/>
      <c r="D88" s="251"/>
      <c r="E88" s="451"/>
      <c r="F88" s="451"/>
      <c r="G88" s="451"/>
      <c r="H88" s="451"/>
      <c r="I88" s="188"/>
      <c r="J88" s="451"/>
      <c r="K88" s="451"/>
      <c r="L88" s="451"/>
      <c r="M88" s="451"/>
      <c r="N88" s="451"/>
      <c r="O88" s="188"/>
      <c r="P88" s="451"/>
      <c r="Q88" s="451"/>
      <c r="R88" s="451"/>
      <c r="S88" s="451"/>
      <c r="T88" s="451"/>
      <c r="U88" s="188"/>
      <c r="V88" s="451"/>
      <c r="W88" s="451"/>
      <c r="X88" s="451"/>
      <c r="Y88" s="451"/>
      <c r="Z88" s="451"/>
      <c r="AA88" s="186"/>
      <c r="AB88" s="451"/>
      <c r="AC88" s="451"/>
      <c r="AD88" s="451"/>
      <c r="AE88" s="451"/>
      <c r="AF88" s="451"/>
      <c r="AG88" s="188"/>
      <c r="AH88" s="451"/>
    </row>
    <row r="89" spans="1:34" x14ac:dyDescent="0.2">
      <c r="A89" s="469"/>
      <c r="B89" s="465" t="s">
        <v>96</v>
      </c>
      <c r="C89" s="476" t="s">
        <v>6</v>
      </c>
      <c r="D89" s="272" t="s">
        <v>78</v>
      </c>
      <c r="E89" s="451">
        <v>0.25</v>
      </c>
      <c r="F89" s="451">
        <v>0.25</v>
      </c>
      <c r="G89" s="451">
        <v>0.25</v>
      </c>
      <c r="H89" s="451">
        <v>0.25</v>
      </c>
      <c r="I89" s="188"/>
      <c r="J89" s="451">
        <v>0.25</v>
      </c>
      <c r="K89" s="451">
        <v>0.24</v>
      </c>
      <c r="L89" s="451">
        <v>0.24</v>
      </c>
      <c r="M89" s="451">
        <v>0.24</v>
      </c>
      <c r="N89" s="451">
        <v>0.24</v>
      </c>
      <c r="O89" s="188"/>
      <c r="P89" s="451">
        <v>0.24</v>
      </c>
      <c r="Q89" s="451">
        <v>0.23</v>
      </c>
      <c r="R89" s="451">
        <v>0.23</v>
      </c>
      <c r="S89" s="451">
        <v>0.23</v>
      </c>
      <c r="T89" s="451">
        <v>0.23</v>
      </c>
      <c r="U89" s="188"/>
      <c r="V89" s="451">
        <v>0.23</v>
      </c>
      <c r="W89" s="451">
        <v>0.22</v>
      </c>
      <c r="X89" s="451">
        <v>0.22</v>
      </c>
      <c r="Y89" s="451">
        <v>0.22</v>
      </c>
      <c r="Z89" s="451">
        <v>0.22</v>
      </c>
      <c r="AA89" s="186"/>
      <c r="AB89" s="451">
        <v>0.22</v>
      </c>
      <c r="AC89" s="451">
        <v>0.2</v>
      </c>
      <c r="AD89" s="451">
        <v>0.2</v>
      </c>
      <c r="AE89" s="451">
        <v>0.2</v>
      </c>
      <c r="AF89" s="451">
        <v>0.2</v>
      </c>
      <c r="AG89" s="188"/>
      <c r="AH89" s="451">
        <v>0.2</v>
      </c>
    </row>
    <row r="90" spans="1:34" x14ac:dyDescent="0.2">
      <c r="A90" s="469"/>
      <c r="B90" s="479"/>
      <c r="C90" s="265"/>
      <c r="D90" s="251"/>
      <c r="E90" s="451"/>
      <c r="F90" s="451"/>
      <c r="G90" s="451"/>
      <c r="H90" s="451"/>
      <c r="I90" s="188"/>
      <c r="J90" s="451"/>
      <c r="K90" s="451"/>
      <c r="L90" s="451"/>
      <c r="M90" s="451"/>
      <c r="N90" s="451"/>
      <c r="O90" s="188"/>
      <c r="P90" s="451"/>
      <c r="Q90" s="451"/>
      <c r="R90" s="451"/>
      <c r="S90" s="451"/>
      <c r="T90" s="451"/>
      <c r="U90" s="188"/>
      <c r="V90" s="451"/>
      <c r="W90" s="451"/>
      <c r="X90" s="451"/>
      <c r="Y90" s="451"/>
      <c r="Z90" s="451"/>
      <c r="AA90" s="186"/>
      <c r="AB90" s="451"/>
      <c r="AC90" s="451"/>
      <c r="AD90" s="451"/>
      <c r="AE90" s="451"/>
      <c r="AF90" s="451"/>
      <c r="AG90" s="188"/>
      <c r="AH90" s="451"/>
    </row>
    <row r="91" spans="1:34" x14ac:dyDescent="0.2">
      <c r="A91" s="469"/>
      <c r="B91" s="479"/>
      <c r="C91" s="476" t="s">
        <v>7</v>
      </c>
      <c r="D91" s="272" t="s">
        <v>78</v>
      </c>
      <c r="E91" s="451">
        <v>0.25</v>
      </c>
      <c r="F91" s="451">
        <v>0.25</v>
      </c>
      <c r="G91" s="451">
        <v>0.25</v>
      </c>
      <c r="H91" s="451">
        <v>0.25</v>
      </c>
      <c r="I91" s="188"/>
      <c r="J91" s="451">
        <v>0.25</v>
      </c>
      <c r="K91" s="451">
        <v>0.24</v>
      </c>
      <c r="L91" s="451">
        <v>0.24</v>
      </c>
      <c r="M91" s="451">
        <v>0.24</v>
      </c>
      <c r="N91" s="451">
        <v>0.24</v>
      </c>
      <c r="O91" s="188"/>
      <c r="P91" s="451">
        <v>0.24</v>
      </c>
      <c r="Q91" s="451">
        <v>0.23</v>
      </c>
      <c r="R91" s="451">
        <v>0.23</v>
      </c>
      <c r="S91" s="451">
        <v>0.23</v>
      </c>
      <c r="T91" s="451">
        <v>0.23</v>
      </c>
      <c r="U91" s="188"/>
      <c r="V91" s="451">
        <v>0.23</v>
      </c>
      <c r="W91" s="451">
        <v>0.22</v>
      </c>
      <c r="X91" s="451">
        <v>0.22</v>
      </c>
      <c r="Y91" s="451">
        <v>0.22</v>
      </c>
      <c r="Z91" s="451">
        <v>0.22</v>
      </c>
      <c r="AA91" s="186"/>
      <c r="AB91" s="451">
        <v>0.22</v>
      </c>
      <c r="AC91" s="451">
        <v>0.2</v>
      </c>
      <c r="AD91" s="451">
        <v>0.2</v>
      </c>
      <c r="AE91" s="451">
        <v>0.2</v>
      </c>
      <c r="AF91" s="451">
        <v>0.2</v>
      </c>
      <c r="AG91" s="188"/>
      <c r="AH91" s="451">
        <v>0.2</v>
      </c>
    </row>
    <row r="92" spans="1:34" x14ac:dyDescent="0.2">
      <c r="A92" s="469"/>
      <c r="B92" s="479"/>
      <c r="C92" s="265"/>
      <c r="D92" s="251"/>
      <c r="E92" s="451"/>
      <c r="F92" s="451"/>
      <c r="G92" s="451"/>
      <c r="H92" s="451"/>
      <c r="I92" s="188"/>
      <c r="J92" s="451"/>
      <c r="K92" s="451"/>
      <c r="L92" s="451"/>
      <c r="M92" s="451"/>
      <c r="N92" s="451"/>
      <c r="O92" s="188"/>
      <c r="P92" s="451"/>
      <c r="Q92" s="451"/>
      <c r="R92" s="451"/>
      <c r="S92" s="451"/>
      <c r="T92" s="451"/>
      <c r="U92" s="188"/>
      <c r="V92" s="451"/>
      <c r="W92" s="451"/>
      <c r="X92" s="451"/>
      <c r="Y92" s="451"/>
      <c r="Z92" s="451"/>
      <c r="AA92" s="186"/>
      <c r="AB92" s="451"/>
      <c r="AC92" s="451"/>
      <c r="AD92" s="451"/>
      <c r="AE92" s="451"/>
      <c r="AF92" s="451"/>
      <c r="AG92" s="188"/>
      <c r="AH92" s="451"/>
    </row>
    <row r="93" spans="1:34" x14ac:dyDescent="0.2">
      <c r="A93" s="469"/>
      <c r="B93" s="479"/>
      <c r="C93" s="476" t="s">
        <v>8</v>
      </c>
      <c r="D93" s="272" t="s">
        <v>78</v>
      </c>
      <c r="E93" s="451">
        <v>0.25</v>
      </c>
      <c r="F93" s="451">
        <v>0.25</v>
      </c>
      <c r="G93" s="451">
        <v>0.25</v>
      </c>
      <c r="H93" s="451">
        <v>0.25</v>
      </c>
      <c r="I93" s="188"/>
      <c r="J93" s="451">
        <v>0.25</v>
      </c>
      <c r="K93" s="451">
        <v>0.24</v>
      </c>
      <c r="L93" s="451">
        <v>0.24</v>
      </c>
      <c r="M93" s="451">
        <v>0.24</v>
      </c>
      <c r="N93" s="451">
        <v>0.24</v>
      </c>
      <c r="O93" s="188"/>
      <c r="P93" s="451">
        <v>0.24</v>
      </c>
      <c r="Q93" s="451">
        <v>0.23</v>
      </c>
      <c r="R93" s="451">
        <v>0.23</v>
      </c>
      <c r="S93" s="451">
        <v>0.23</v>
      </c>
      <c r="T93" s="451">
        <v>0.23</v>
      </c>
      <c r="U93" s="188"/>
      <c r="V93" s="451">
        <v>0.23</v>
      </c>
      <c r="W93" s="451">
        <v>0.22</v>
      </c>
      <c r="X93" s="451">
        <v>0.22</v>
      </c>
      <c r="Y93" s="451">
        <v>0.22</v>
      </c>
      <c r="Z93" s="451">
        <v>0.22</v>
      </c>
      <c r="AA93" s="186"/>
      <c r="AB93" s="451">
        <v>0.22</v>
      </c>
      <c r="AC93" s="451">
        <v>0.2</v>
      </c>
      <c r="AD93" s="451">
        <v>0.2</v>
      </c>
      <c r="AE93" s="451">
        <v>0.2</v>
      </c>
      <c r="AF93" s="451">
        <v>0.2</v>
      </c>
      <c r="AG93" s="188"/>
      <c r="AH93" s="451">
        <v>0.2</v>
      </c>
    </row>
    <row r="94" spans="1:34" x14ac:dyDescent="0.2">
      <c r="A94" s="469"/>
      <c r="B94" s="479"/>
      <c r="C94" s="265"/>
      <c r="D94" s="251"/>
      <c r="E94" s="451"/>
      <c r="F94" s="451"/>
      <c r="G94" s="451"/>
      <c r="H94" s="451"/>
      <c r="I94" s="188"/>
      <c r="J94" s="451"/>
      <c r="K94" s="451"/>
      <c r="L94" s="451"/>
      <c r="M94" s="451"/>
      <c r="N94" s="451"/>
      <c r="O94" s="188"/>
      <c r="P94" s="451"/>
      <c r="Q94" s="451"/>
      <c r="R94" s="451"/>
      <c r="S94" s="451"/>
      <c r="T94" s="451"/>
      <c r="U94" s="188"/>
      <c r="V94" s="451"/>
      <c r="W94" s="451"/>
      <c r="X94" s="451"/>
      <c r="Y94" s="451"/>
      <c r="Z94" s="451"/>
      <c r="AA94" s="186"/>
      <c r="AB94" s="451"/>
      <c r="AC94" s="451"/>
      <c r="AD94" s="451"/>
      <c r="AE94" s="451"/>
      <c r="AF94" s="451"/>
      <c r="AG94" s="188"/>
      <c r="AH94" s="451"/>
    </row>
    <row r="95" spans="1:34" ht="46.8" customHeight="1" x14ac:dyDescent="0.2">
      <c r="A95" s="469"/>
      <c r="B95" s="465" t="s">
        <v>97</v>
      </c>
      <c r="C95" s="265"/>
      <c r="D95" s="24" t="s">
        <v>135</v>
      </c>
      <c r="E95" s="206">
        <v>2</v>
      </c>
      <c r="F95" s="206">
        <v>2</v>
      </c>
      <c r="G95" s="206">
        <v>2</v>
      </c>
      <c r="H95" s="206">
        <v>4</v>
      </c>
      <c r="I95" s="190"/>
      <c r="J95" s="190">
        <v>10</v>
      </c>
      <c r="K95" s="206">
        <v>2</v>
      </c>
      <c r="L95" s="206">
        <v>2</v>
      </c>
      <c r="M95" s="206">
        <v>2</v>
      </c>
      <c r="N95" s="206">
        <v>4</v>
      </c>
      <c r="O95" s="190"/>
      <c r="P95" s="190">
        <v>10</v>
      </c>
      <c r="Q95" s="206">
        <v>2</v>
      </c>
      <c r="R95" s="206">
        <v>2</v>
      </c>
      <c r="S95" s="206">
        <v>2</v>
      </c>
      <c r="T95" s="206">
        <v>4</v>
      </c>
      <c r="U95" s="190"/>
      <c r="V95" s="190">
        <v>10</v>
      </c>
      <c r="W95" s="206">
        <v>2</v>
      </c>
      <c r="X95" s="206">
        <v>2</v>
      </c>
      <c r="Y95" s="206">
        <v>2</v>
      </c>
      <c r="Z95" s="206">
        <v>4</v>
      </c>
      <c r="AA95" s="206"/>
      <c r="AB95" s="190">
        <v>10</v>
      </c>
      <c r="AC95" s="206">
        <v>2</v>
      </c>
      <c r="AD95" s="206">
        <v>2</v>
      </c>
      <c r="AE95" s="206">
        <v>2</v>
      </c>
      <c r="AF95" s="206">
        <v>4</v>
      </c>
      <c r="AG95" s="190"/>
      <c r="AH95" s="190">
        <v>10</v>
      </c>
    </row>
    <row r="96" spans="1:34" x14ac:dyDescent="0.2">
      <c r="A96" s="469"/>
      <c r="B96" s="465" t="s">
        <v>85</v>
      </c>
      <c r="C96" s="476" t="s">
        <v>6</v>
      </c>
      <c r="D96" s="272" t="s">
        <v>78</v>
      </c>
      <c r="E96" s="451">
        <v>0.5</v>
      </c>
      <c r="F96" s="451">
        <v>0.5</v>
      </c>
      <c r="G96" s="451">
        <v>0.5</v>
      </c>
      <c r="H96" s="451">
        <v>0.5</v>
      </c>
      <c r="I96" s="188"/>
      <c r="J96" s="451">
        <v>0.5</v>
      </c>
      <c r="K96" s="451">
        <v>0.49</v>
      </c>
      <c r="L96" s="451">
        <v>0.49</v>
      </c>
      <c r="M96" s="451">
        <v>0.49</v>
      </c>
      <c r="N96" s="451">
        <v>0.49</v>
      </c>
      <c r="O96" s="188"/>
      <c r="P96" s="451">
        <v>0.49</v>
      </c>
      <c r="Q96" s="451">
        <v>0.48</v>
      </c>
      <c r="R96" s="451">
        <v>0.48</v>
      </c>
      <c r="S96" s="451">
        <v>0.48</v>
      </c>
      <c r="T96" s="451">
        <v>0.48</v>
      </c>
      <c r="U96" s="188"/>
      <c r="V96" s="451">
        <v>0.48</v>
      </c>
      <c r="W96" s="451">
        <v>0.47</v>
      </c>
      <c r="X96" s="451">
        <v>0.47</v>
      </c>
      <c r="Y96" s="451">
        <v>0.47</v>
      </c>
      <c r="Z96" s="451">
        <v>0.47</v>
      </c>
      <c r="AA96" s="186"/>
      <c r="AB96" s="451">
        <v>0.47</v>
      </c>
      <c r="AC96" s="451">
        <v>0.45</v>
      </c>
      <c r="AD96" s="451">
        <v>0.45</v>
      </c>
      <c r="AE96" s="451">
        <v>0.45</v>
      </c>
      <c r="AF96" s="451">
        <v>0.45</v>
      </c>
      <c r="AG96" s="188"/>
      <c r="AH96" s="451">
        <v>0.45</v>
      </c>
    </row>
    <row r="97" spans="1:34" x14ac:dyDescent="0.2">
      <c r="A97" s="469"/>
      <c r="B97" s="465"/>
      <c r="C97" s="476"/>
      <c r="D97" s="251"/>
      <c r="E97" s="451"/>
      <c r="F97" s="451"/>
      <c r="G97" s="451"/>
      <c r="H97" s="451"/>
      <c r="I97" s="188"/>
      <c r="J97" s="451"/>
      <c r="K97" s="451"/>
      <c r="L97" s="451"/>
      <c r="M97" s="451"/>
      <c r="N97" s="451"/>
      <c r="O97" s="188"/>
      <c r="P97" s="451"/>
      <c r="Q97" s="451"/>
      <c r="R97" s="451"/>
      <c r="S97" s="451"/>
      <c r="T97" s="451"/>
      <c r="U97" s="188"/>
      <c r="V97" s="451"/>
      <c r="W97" s="451"/>
      <c r="X97" s="451"/>
      <c r="Y97" s="451"/>
      <c r="Z97" s="451"/>
      <c r="AA97" s="186"/>
      <c r="AB97" s="451"/>
      <c r="AC97" s="451"/>
      <c r="AD97" s="451"/>
      <c r="AE97" s="451"/>
      <c r="AF97" s="451"/>
      <c r="AG97" s="188"/>
      <c r="AH97" s="451"/>
    </row>
    <row r="98" spans="1:34" x14ac:dyDescent="0.2">
      <c r="A98" s="469"/>
      <c r="B98" s="465"/>
      <c r="C98" s="476" t="s">
        <v>7</v>
      </c>
      <c r="D98" s="272" t="s">
        <v>78</v>
      </c>
      <c r="E98" s="451">
        <v>0.25</v>
      </c>
      <c r="F98" s="451">
        <v>0.25</v>
      </c>
      <c r="G98" s="451">
        <v>0.25</v>
      </c>
      <c r="H98" s="451">
        <v>0.25</v>
      </c>
      <c r="I98" s="188"/>
      <c r="J98" s="451">
        <v>0.25</v>
      </c>
      <c r="K98" s="451">
        <v>0.24</v>
      </c>
      <c r="L98" s="451">
        <v>0.24</v>
      </c>
      <c r="M98" s="451">
        <v>0.24</v>
      </c>
      <c r="N98" s="451">
        <v>0.24</v>
      </c>
      <c r="O98" s="188"/>
      <c r="P98" s="451">
        <v>0.24</v>
      </c>
      <c r="Q98" s="451">
        <v>0.23</v>
      </c>
      <c r="R98" s="451">
        <v>0.23</v>
      </c>
      <c r="S98" s="451">
        <v>0.23</v>
      </c>
      <c r="T98" s="451">
        <v>0.23</v>
      </c>
      <c r="U98" s="188"/>
      <c r="V98" s="451">
        <v>0.23</v>
      </c>
      <c r="W98" s="451">
        <v>0.22</v>
      </c>
      <c r="X98" s="451">
        <v>0.22</v>
      </c>
      <c r="Y98" s="451">
        <v>0.22</v>
      </c>
      <c r="Z98" s="451">
        <v>0.22</v>
      </c>
      <c r="AA98" s="186"/>
      <c r="AB98" s="451">
        <v>0.22</v>
      </c>
      <c r="AC98" s="451">
        <v>0.2</v>
      </c>
      <c r="AD98" s="451">
        <v>0.2</v>
      </c>
      <c r="AE98" s="451">
        <v>0.2</v>
      </c>
      <c r="AF98" s="451">
        <v>0.2</v>
      </c>
      <c r="AG98" s="188"/>
      <c r="AH98" s="451">
        <v>0.2</v>
      </c>
    </row>
    <row r="99" spans="1:34" x14ac:dyDescent="0.2">
      <c r="A99" s="469"/>
      <c r="B99" s="465"/>
      <c r="C99" s="476"/>
      <c r="D99" s="251"/>
      <c r="E99" s="451"/>
      <c r="F99" s="451"/>
      <c r="G99" s="451"/>
      <c r="H99" s="451"/>
      <c r="I99" s="188"/>
      <c r="J99" s="451"/>
      <c r="K99" s="451"/>
      <c r="L99" s="451"/>
      <c r="M99" s="451"/>
      <c r="N99" s="451"/>
      <c r="O99" s="188"/>
      <c r="P99" s="451"/>
      <c r="Q99" s="451"/>
      <c r="R99" s="451"/>
      <c r="S99" s="451"/>
      <c r="T99" s="451"/>
      <c r="U99" s="188"/>
      <c r="V99" s="451"/>
      <c r="W99" s="451"/>
      <c r="X99" s="451"/>
      <c r="Y99" s="451"/>
      <c r="Z99" s="451"/>
      <c r="AA99" s="186"/>
      <c r="AB99" s="451"/>
      <c r="AC99" s="451"/>
      <c r="AD99" s="451"/>
      <c r="AE99" s="451"/>
      <c r="AF99" s="451"/>
      <c r="AG99" s="188"/>
      <c r="AH99" s="451"/>
    </row>
    <row r="100" spans="1:34" x14ac:dyDescent="0.2">
      <c r="A100" s="469"/>
      <c r="B100" s="465"/>
      <c r="C100" s="476" t="s">
        <v>8</v>
      </c>
      <c r="D100" s="272" t="s">
        <v>78</v>
      </c>
      <c r="E100" s="451">
        <v>0.3</v>
      </c>
      <c r="F100" s="451">
        <v>0.3</v>
      </c>
      <c r="G100" s="451">
        <v>0.3</v>
      </c>
      <c r="H100" s="451">
        <v>0.3</v>
      </c>
      <c r="I100" s="188"/>
      <c r="J100" s="451">
        <v>0.3</v>
      </c>
      <c r="K100" s="451">
        <v>0.28999999999999998</v>
      </c>
      <c r="L100" s="451">
        <v>0.28999999999999998</v>
      </c>
      <c r="M100" s="451">
        <v>0.28999999999999998</v>
      </c>
      <c r="N100" s="451">
        <v>0.28999999999999998</v>
      </c>
      <c r="O100" s="188"/>
      <c r="P100" s="451">
        <v>0.28999999999999998</v>
      </c>
      <c r="Q100" s="451">
        <v>0.28000000000000003</v>
      </c>
      <c r="R100" s="451">
        <v>0.28000000000000003</v>
      </c>
      <c r="S100" s="451">
        <v>0.28000000000000003</v>
      </c>
      <c r="T100" s="451">
        <v>0.28000000000000003</v>
      </c>
      <c r="U100" s="188"/>
      <c r="V100" s="451">
        <v>0.28000000000000003</v>
      </c>
      <c r="W100" s="451">
        <v>0.27</v>
      </c>
      <c r="X100" s="451">
        <v>0.27</v>
      </c>
      <c r="Y100" s="451">
        <v>0.27</v>
      </c>
      <c r="Z100" s="451">
        <v>0.27</v>
      </c>
      <c r="AA100" s="186"/>
      <c r="AB100" s="451">
        <v>0.27</v>
      </c>
      <c r="AC100" s="451">
        <v>0.25</v>
      </c>
      <c r="AD100" s="451">
        <v>0.25</v>
      </c>
      <c r="AE100" s="451">
        <v>0.25</v>
      </c>
      <c r="AF100" s="451">
        <v>0.25</v>
      </c>
      <c r="AG100" s="188"/>
      <c r="AH100" s="451">
        <v>0.25</v>
      </c>
    </row>
    <row r="101" spans="1:34" x14ac:dyDescent="0.2">
      <c r="A101" s="469"/>
      <c r="B101" s="465"/>
      <c r="C101" s="476"/>
      <c r="D101" s="251"/>
      <c r="E101" s="451"/>
      <c r="F101" s="451"/>
      <c r="G101" s="451"/>
      <c r="H101" s="451"/>
      <c r="I101" s="188"/>
      <c r="J101" s="451"/>
      <c r="K101" s="451"/>
      <c r="L101" s="451"/>
      <c r="M101" s="451"/>
      <c r="N101" s="451"/>
      <c r="O101" s="188"/>
      <c r="P101" s="451"/>
      <c r="Q101" s="451"/>
      <c r="R101" s="451"/>
      <c r="S101" s="451"/>
      <c r="T101" s="451"/>
      <c r="U101" s="188"/>
      <c r="V101" s="451"/>
      <c r="W101" s="451"/>
      <c r="X101" s="451"/>
      <c r="Y101" s="451"/>
      <c r="Z101" s="451"/>
      <c r="AA101" s="186"/>
      <c r="AB101" s="451"/>
      <c r="AC101" s="451"/>
      <c r="AD101" s="451"/>
      <c r="AE101" s="451"/>
      <c r="AF101" s="451"/>
      <c r="AG101" s="188"/>
      <c r="AH101" s="451"/>
    </row>
    <row r="102" spans="1:34" x14ac:dyDescent="0.2">
      <c r="A102" s="469"/>
      <c r="B102" s="465" t="s">
        <v>98</v>
      </c>
      <c r="C102" s="476" t="s">
        <v>6</v>
      </c>
      <c r="D102" s="272" t="s">
        <v>78</v>
      </c>
      <c r="E102" s="451">
        <v>0.25</v>
      </c>
      <c r="F102" s="451">
        <v>0.25</v>
      </c>
      <c r="G102" s="451">
        <v>0.25</v>
      </c>
      <c r="H102" s="451">
        <v>0.25</v>
      </c>
      <c r="I102" s="188"/>
      <c r="J102" s="451">
        <v>0.25</v>
      </c>
      <c r="K102" s="451">
        <v>0.24</v>
      </c>
      <c r="L102" s="451">
        <v>0.24</v>
      </c>
      <c r="M102" s="451">
        <v>0.24</v>
      </c>
      <c r="N102" s="451">
        <v>0.24</v>
      </c>
      <c r="O102" s="188"/>
      <c r="P102" s="451">
        <v>0.24</v>
      </c>
      <c r="Q102" s="451">
        <v>0.23</v>
      </c>
      <c r="R102" s="451">
        <v>0.23</v>
      </c>
      <c r="S102" s="451">
        <v>0.23</v>
      </c>
      <c r="T102" s="451">
        <v>0.23</v>
      </c>
      <c r="U102" s="188"/>
      <c r="V102" s="451">
        <v>0.23</v>
      </c>
      <c r="W102" s="451">
        <v>0.22</v>
      </c>
      <c r="X102" s="451">
        <v>0.22</v>
      </c>
      <c r="Y102" s="451">
        <v>0.22</v>
      </c>
      <c r="Z102" s="451">
        <v>0.22</v>
      </c>
      <c r="AA102" s="186"/>
      <c r="AB102" s="451">
        <v>0.22</v>
      </c>
      <c r="AC102" s="451">
        <v>0.2</v>
      </c>
      <c r="AD102" s="451">
        <v>0.2</v>
      </c>
      <c r="AE102" s="451">
        <v>0.2</v>
      </c>
      <c r="AF102" s="451">
        <v>0.2</v>
      </c>
      <c r="AG102" s="188"/>
      <c r="AH102" s="451">
        <v>0.2</v>
      </c>
    </row>
    <row r="103" spans="1:34" x14ac:dyDescent="0.2">
      <c r="A103" s="469"/>
      <c r="B103" s="265"/>
      <c r="C103" s="265"/>
      <c r="D103" s="251"/>
      <c r="E103" s="451"/>
      <c r="F103" s="451"/>
      <c r="G103" s="451"/>
      <c r="H103" s="451"/>
      <c r="I103" s="188"/>
      <c r="J103" s="451"/>
      <c r="K103" s="451"/>
      <c r="L103" s="451"/>
      <c r="M103" s="451"/>
      <c r="N103" s="451"/>
      <c r="O103" s="188"/>
      <c r="P103" s="451"/>
      <c r="Q103" s="451"/>
      <c r="R103" s="451"/>
      <c r="S103" s="451"/>
      <c r="T103" s="451"/>
      <c r="U103" s="188"/>
      <c r="V103" s="451"/>
      <c r="W103" s="451"/>
      <c r="X103" s="451"/>
      <c r="Y103" s="451"/>
      <c r="Z103" s="451"/>
      <c r="AA103" s="186"/>
      <c r="AB103" s="451"/>
      <c r="AC103" s="451"/>
      <c r="AD103" s="451"/>
      <c r="AE103" s="451"/>
      <c r="AF103" s="451"/>
      <c r="AG103" s="188"/>
      <c r="AH103" s="451"/>
    </row>
    <row r="104" spans="1:34" x14ac:dyDescent="0.2">
      <c r="A104" s="469"/>
      <c r="B104" s="265"/>
      <c r="C104" s="476" t="s">
        <v>7</v>
      </c>
      <c r="D104" s="272" t="s">
        <v>78</v>
      </c>
      <c r="E104" s="451">
        <v>0.25</v>
      </c>
      <c r="F104" s="451">
        <v>0.25</v>
      </c>
      <c r="G104" s="451">
        <v>0.25</v>
      </c>
      <c r="H104" s="451">
        <v>0.25</v>
      </c>
      <c r="I104" s="188"/>
      <c r="J104" s="451">
        <v>0.25</v>
      </c>
      <c r="K104" s="451">
        <v>0.24</v>
      </c>
      <c r="L104" s="451">
        <v>0.24</v>
      </c>
      <c r="M104" s="451">
        <v>0.24</v>
      </c>
      <c r="N104" s="451">
        <v>0.24</v>
      </c>
      <c r="O104" s="188"/>
      <c r="P104" s="451">
        <v>0.24</v>
      </c>
      <c r="Q104" s="451">
        <v>0.23</v>
      </c>
      <c r="R104" s="451">
        <v>0.23</v>
      </c>
      <c r="S104" s="451">
        <v>0.23</v>
      </c>
      <c r="T104" s="451">
        <v>0.23</v>
      </c>
      <c r="U104" s="188"/>
      <c r="V104" s="451">
        <v>0.23</v>
      </c>
      <c r="W104" s="451">
        <v>0.22</v>
      </c>
      <c r="X104" s="451">
        <v>0.22</v>
      </c>
      <c r="Y104" s="451">
        <v>0.22</v>
      </c>
      <c r="Z104" s="451">
        <v>0.22</v>
      </c>
      <c r="AA104" s="186"/>
      <c r="AB104" s="451">
        <v>0.22</v>
      </c>
      <c r="AC104" s="451">
        <v>0.2</v>
      </c>
      <c r="AD104" s="451">
        <v>0.2</v>
      </c>
      <c r="AE104" s="451">
        <v>0.2</v>
      </c>
      <c r="AF104" s="451">
        <v>0.2</v>
      </c>
      <c r="AG104" s="188"/>
      <c r="AH104" s="451">
        <v>0.2</v>
      </c>
    </row>
    <row r="105" spans="1:34" x14ac:dyDescent="0.2">
      <c r="A105" s="469"/>
      <c r="B105" s="265"/>
      <c r="C105" s="265"/>
      <c r="D105" s="251"/>
      <c r="E105" s="451"/>
      <c r="F105" s="451"/>
      <c r="G105" s="451"/>
      <c r="H105" s="451"/>
      <c r="I105" s="188"/>
      <c r="J105" s="451"/>
      <c r="K105" s="451"/>
      <c r="L105" s="451"/>
      <c r="M105" s="451"/>
      <c r="N105" s="451"/>
      <c r="O105" s="188"/>
      <c r="P105" s="451"/>
      <c r="Q105" s="451"/>
      <c r="R105" s="451"/>
      <c r="S105" s="451"/>
      <c r="T105" s="451"/>
      <c r="U105" s="188"/>
      <c r="V105" s="451"/>
      <c r="W105" s="451"/>
      <c r="X105" s="451"/>
      <c r="Y105" s="451"/>
      <c r="Z105" s="451"/>
      <c r="AA105" s="186"/>
      <c r="AB105" s="451"/>
      <c r="AC105" s="451"/>
      <c r="AD105" s="451"/>
      <c r="AE105" s="451"/>
      <c r="AF105" s="451"/>
      <c r="AG105" s="188"/>
      <c r="AH105" s="451"/>
    </row>
    <row r="106" spans="1:34" x14ac:dyDescent="0.2">
      <c r="A106" s="469"/>
      <c r="B106" s="265"/>
      <c r="C106" s="476" t="s">
        <v>8</v>
      </c>
      <c r="D106" s="272" t="s">
        <v>78</v>
      </c>
      <c r="E106" s="451">
        <v>0.25</v>
      </c>
      <c r="F106" s="451">
        <v>0.25</v>
      </c>
      <c r="G106" s="451">
        <v>0.25</v>
      </c>
      <c r="H106" s="451">
        <v>0.25</v>
      </c>
      <c r="I106" s="188"/>
      <c r="J106" s="451">
        <v>0.25</v>
      </c>
      <c r="K106" s="451">
        <v>0.24</v>
      </c>
      <c r="L106" s="451">
        <v>0.24</v>
      </c>
      <c r="M106" s="451">
        <v>0.24</v>
      </c>
      <c r="N106" s="451">
        <v>0.24</v>
      </c>
      <c r="O106" s="188"/>
      <c r="P106" s="451">
        <v>0.24</v>
      </c>
      <c r="Q106" s="451">
        <v>0.23</v>
      </c>
      <c r="R106" s="451">
        <v>0.23</v>
      </c>
      <c r="S106" s="451">
        <v>0.23</v>
      </c>
      <c r="T106" s="451">
        <v>0.23</v>
      </c>
      <c r="U106" s="188"/>
      <c r="V106" s="451">
        <v>0.23</v>
      </c>
      <c r="W106" s="451">
        <v>0.22</v>
      </c>
      <c r="X106" s="451">
        <v>0.22</v>
      </c>
      <c r="Y106" s="451">
        <v>0.22</v>
      </c>
      <c r="Z106" s="451">
        <v>0.22</v>
      </c>
      <c r="AA106" s="186"/>
      <c r="AB106" s="451">
        <v>0.22</v>
      </c>
      <c r="AC106" s="451">
        <v>0.2</v>
      </c>
      <c r="AD106" s="451">
        <v>0.2</v>
      </c>
      <c r="AE106" s="451">
        <v>0.2</v>
      </c>
      <c r="AF106" s="451">
        <v>0.2</v>
      </c>
      <c r="AG106" s="188"/>
      <c r="AH106" s="451">
        <v>0.2</v>
      </c>
    </row>
    <row r="107" spans="1:34" x14ac:dyDescent="0.2">
      <c r="A107" s="469"/>
      <c r="B107" s="265"/>
      <c r="C107" s="265"/>
      <c r="D107" s="251"/>
      <c r="E107" s="451"/>
      <c r="F107" s="451"/>
      <c r="G107" s="451"/>
      <c r="H107" s="451"/>
      <c r="I107" s="188"/>
      <c r="J107" s="451"/>
      <c r="K107" s="451"/>
      <c r="L107" s="451"/>
      <c r="M107" s="451"/>
      <c r="N107" s="451"/>
      <c r="O107" s="188"/>
      <c r="P107" s="451"/>
      <c r="Q107" s="451"/>
      <c r="R107" s="451"/>
      <c r="S107" s="451"/>
      <c r="T107" s="451"/>
      <c r="U107" s="188"/>
      <c r="V107" s="451"/>
      <c r="W107" s="451"/>
      <c r="X107" s="451"/>
      <c r="Y107" s="451"/>
      <c r="Z107" s="451"/>
      <c r="AA107" s="186"/>
      <c r="AB107" s="451"/>
      <c r="AC107" s="451"/>
      <c r="AD107" s="451"/>
      <c r="AE107" s="451"/>
      <c r="AF107" s="451"/>
      <c r="AG107" s="188"/>
      <c r="AH107" s="451"/>
    </row>
    <row r="108" spans="1:34" x14ac:dyDescent="0.2">
      <c r="A108" s="176" t="s">
        <v>21</v>
      </c>
      <c r="B108" s="462" t="s">
        <v>22</v>
      </c>
      <c r="C108" s="462"/>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476"/>
      <c r="B109" s="477" t="s">
        <v>23</v>
      </c>
      <c r="C109" s="477"/>
      <c r="D109" s="24" t="s">
        <v>135</v>
      </c>
      <c r="E109" s="181">
        <v>2</v>
      </c>
      <c r="F109" s="181">
        <v>2</v>
      </c>
      <c r="G109" s="181">
        <v>2</v>
      </c>
      <c r="H109" s="181">
        <v>4</v>
      </c>
      <c r="I109" s="188"/>
      <c r="J109" s="192">
        <v>10</v>
      </c>
      <c r="K109" s="181">
        <v>2</v>
      </c>
      <c r="L109" s="181">
        <v>2</v>
      </c>
      <c r="M109" s="181">
        <v>2</v>
      </c>
      <c r="N109" s="181">
        <v>4</v>
      </c>
      <c r="O109" s="188"/>
      <c r="P109" s="192">
        <v>10</v>
      </c>
      <c r="Q109" s="181">
        <v>2</v>
      </c>
      <c r="R109" s="181">
        <v>2</v>
      </c>
      <c r="S109" s="181">
        <v>2</v>
      </c>
      <c r="T109" s="181">
        <v>4</v>
      </c>
      <c r="U109" s="188"/>
      <c r="V109" s="192">
        <v>10</v>
      </c>
      <c r="W109" s="181">
        <v>2</v>
      </c>
      <c r="X109" s="181">
        <v>2</v>
      </c>
      <c r="Y109" s="181">
        <v>2</v>
      </c>
      <c r="Z109" s="181">
        <v>4</v>
      </c>
      <c r="AA109" s="188"/>
      <c r="AB109" s="192">
        <v>10</v>
      </c>
      <c r="AC109" s="181">
        <v>2</v>
      </c>
      <c r="AD109" s="181">
        <v>2</v>
      </c>
      <c r="AE109" s="181">
        <v>2</v>
      </c>
      <c r="AF109" s="181">
        <v>4</v>
      </c>
      <c r="AG109" s="188"/>
      <c r="AH109" s="192">
        <v>10</v>
      </c>
    </row>
    <row r="110" spans="1:34" x14ac:dyDescent="0.2">
      <c r="A110" s="476"/>
      <c r="B110" s="478" t="s">
        <v>99</v>
      </c>
      <c r="C110" s="479"/>
      <c r="D110" s="272" t="s">
        <v>78</v>
      </c>
      <c r="E110" s="451">
        <v>0.33</v>
      </c>
      <c r="F110" s="451">
        <v>0.33</v>
      </c>
      <c r="G110" s="451">
        <v>0.33</v>
      </c>
      <c r="H110" s="451">
        <v>0.33</v>
      </c>
      <c r="I110" s="188"/>
      <c r="J110" s="451">
        <v>0.33</v>
      </c>
      <c r="K110" s="451">
        <v>0.33</v>
      </c>
      <c r="L110" s="451">
        <v>0.33</v>
      </c>
      <c r="M110" s="451">
        <v>0.33</v>
      </c>
      <c r="N110" s="451">
        <v>0.33</v>
      </c>
      <c r="O110" s="188"/>
      <c r="P110" s="451">
        <v>0.33</v>
      </c>
      <c r="Q110" s="451">
        <v>0.33</v>
      </c>
      <c r="R110" s="451">
        <v>0.33</v>
      </c>
      <c r="S110" s="451">
        <v>0.33</v>
      </c>
      <c r="T110" s="451">
        <v>0.33</v>
      </c>
      <c r="U110" s="188"/>
      <c r="V110" s="451">
        <v>0.33</v>
      </c>
      <c r="W110" s="451">
        <v>0.33</v>
      </c>
      <c r="X110" s="451">
        <v>0.33</v>
      </c>
      <c r="Y110" s="451">
        <v>0.33</v>
      </c>
      <c r="Z110" s="451">
        <v>0.33</v>
      </c>
      <c r="AA110" s="188"/>
      <c r="AB110" s="451">
        <v>0.33</v>
      </c>
      <c r="AC110" s="451">
        <v>0.33</v>
      </c>
      <c r="AD110" s="451">
        <v>0.33</v>
      </c>
      <c r="AE110" s="451">
        <v>0.33</v>
      </c>
      <c r="AF110" s="451">
        <v>0.33</v>
      </c>
      <c r="AG110" s="188"/>
      <c r="AH110" s="451">
        <v>0.33</v>
      </c>
    </row>
    <row r="111" spans="1:34" x14ac:dyDescent="0.2">
      <c r="A111" s="476"/>
      <c r="B111" s="479"/>
      <c r="C111" s="479"/>
      <c r="D111" s="251"/>
      <c r="E111" s="451"/>
      <c r="F111" s="451"/>
      <c r="G111" s="451"/>
      <c r="H111" s="451"/>
      <c r="I111" s="188"/>
      <c r="J111" s="451"/>
      <c r="K111" s="451"/>
      <c r="L111" s="451"/>
      <c r="M111" s="451"/>
      <c r="N111" s="451"/>
      <c r="O111" s="188"/>
      <c r="P111" s="451"/>
      <c r="Q111" s="451"/>
      <c r="R111" s="451"/>
      <c r="S111" s="451"/>
      <c r="T111" s="451"/>
      <c r="U111" s="188"/>
      <c r="V111" s="451"/>
      <c r="W111" s="451"/>
      <c r="X111" s="451"/>
      <c r="Y111" s="451"/>
      <c r="Z111" s="451"/>
      <c r="AA111" s="188"/>
      <c r="AB111" s="451"/>
      <c r="AC111" s="451"/>
      <c r="AD111" s="451"/>
      <c r="AE111" s="451"/>
      <c r="AF111" s="451"/>
      <c r="AG111" s="188"/>
      <c r="AH111" s="451"/>
    </row>
    <row r="112" spans="1:34" x14ac:dyDescent="0.2">
      <c r="A112" s="476"/>
      <c r="B112" s="465" t="s">
        <v>136</v>
      </c>
      <c r="C112" s="476" t="s">
        <v>6</v>
      </c>
      <c r="D112" s="272" t="s">
        <v>78</v>
      </c>
      <c r="E112" s="451">
        <v>0.5</v>
      </c>
      <c r="F112" s="451">
        <v>0.5</v>
      </c>
      <c r="G112" s="451">
        <v>0.5</v>
      </c>
      <c r="H112" s="451">
        <v>0.5</v>
      </c>
      <c r="I112" s="188"/>
      <c r="J112" s="451">
        <v>0.5</v>
      </c>
      <c r="K112" s="451">
        <v>0.49</v>
      </c>
      <c r="L112" s="451">
        <v>0.49</v>
      </c>
      <c r="M112" s="451">
        <v>0.49</v>
      </c>
      <c r="N112" s="451">
        <v>0.49</v>
      </c>
      <c r="O112" s="188"/>
      <c r="P112" s="451">
        <v>0.49</v>
      </c>
      <c r="Q112" s="451">
        <v>0.48</v>
      </c>
      <c r="R112" s="451">
        <v>0.48</v>
      </c>
      <c r="S112" s="451">
        <v>0.48</v>
      </c>
      <c r="T112" s="451">
        <v>0.48</v>
      </c>
      <c r="U112" s="188"/>
      <c r="V112" s="451">
        <v>0.48</v>
      </c>
      <c r="W112" s="451">
        <v>0.47</v>
      </c>
      <c r="X112" s="451">
        <v>0.47</v>
      </c>
      <c r="Y112" s="451">
        <v>0.47</v>
      </c>
      <c r="Z112" s="451">
        <v>0.47</v>
      </c>
      <c r="AA112" s="186"/>
      <c r="AB112" s="451">
        <v>0.47</v>
      </c>
      <c r="AC112" s="451">
        <v>0.45</v>
      </c>
      <c r="AD112" s="451">
        <v>0.45</v>
      </c>
      <c r="AE112" s="451">
        <v>0.45</v>
      </c>
      <c r="AF112" s="451">
        <v>0.45</v>
      </c>
      <c r="AG112" s="188"/>
      <c r="AH112" s="451">
        <v>0.45</v>
      </c>
    </row>
    <row r="113" spans="1:34" x14ac:dyDescent="0.2">
      <c r="A113" s="476"/>
      <c r="B113" s="465"/>
      <c r="C113" s="476"/>
      <c r="D113" s="251"/>
      <c r="E113" s="451"/>
      <c r="F113" s="451"/>
      <c r="G113" s="451"/>
      <c r="H113" s="451"/>
      <c r="I113" s="188"/>
      <c r="J113" s="451"/>
      <c r="K113" s="451"/>
      <c r="L113" s="451"/>
      <c r="M113" s="451"/>
      <c r="N113" s="451"/>
      <c r="O113" s="188"/>
      <c r="P113" s="451"/>
      <c r="Q113" s="451"/>
      <c r="R113" s="451"/>
      <c r="S113" s="451"/>
      <c r="T113" s="451"/>
      <c r="U113" s="188"/>
      <c r="V113" s="451"/>
      <c r="W113" s="451"/>
      <c r="X113" s="451"/>
      <c r="Y113" s="451"/>
      <c r="Z113" s="451"/>
      <c r="AA113" s="186"/>
      <c r="AB113" s="451"/>
      <c r="AC113" s="451"/>
      <c r="AD113" s="451"/>
      <c r="AE113" s="451"/>
      <c r="AF113" s="451"/>
      <c r="AG113" s="188"/>
      <c r="AH113" s="451"/>
    </row>
    <row r="114" spans="1:34" x14ac:dyDescent="0.2">
      <c r="A114" s="476"/>
      <c r="B114" s="465"/>
      <c r="C114" s="476" t="s">
        <v>7</v>
      </c>
      <c r="D114" s="272" t="s">
        <v>78</v>
      </c>
      <c r="E114" s="451">
        <v>0.25</v>
      </c>
      <c r="F114" s="451">
        <v>0.25</v>
      </c>
      <c r="G114" s="451">
        <v>0.25</v>
      </c>
      <c r="H114" s="451">
        <v>0.25</v>
      </c>
      <c r="I114" s="188"/>
      <c r="J114" s="451">
        <v>0.25</v>
      </c>
      <c r="K114" s="451">
        <v>0.24</v>
      </c>
      <c r="L114" s="451">
        <v>0.24</v>
      </c>
      <c r="M114" s="451">
        <v>0.24</v>
      </c>
      <c r="N114" s="451">
        <v>0.24</v>
      </c>
      <c r="O114" s="188"/>
      <c r="P114" s="451">
        <v>0.24</v>
      </c>
      <c r="Q114" s="451">
        <v>0.23</v>
      </c>
      <c r="R114" s="451">
        <v>0.23</v>
      </c>
      <c r="S114" s="451">
        <v>0.23</v>
      </c>
      <c r="T114" s="451">
        <v>0.23</v>
      </c>
      <c r="U114" s="188"/>
      <c r="V114" s="451">
        <v>0.23</v>
      </c>
      <c r="W114" s="451">
        <v>0.22</v>
      </c>
      <c r="X114" s="451">
        <v>0.22</v>
      </c>
      <c r="Y114" s="451">
        <v>0.22</v>
      </c>
      <c r="Z114" s="451">
        <v>0.22</v>
      </c>
      <c r="AA114" s="186"/>
      <c r="AB114" s="451">
        <v>0.22</v>
      </c>
      <c r="AC114" s="451">
        <v>0.2</v>
      </c>
      <c r="AD114" s="451">
        <v>0.2</v>
      </c>
      <c r="AE114" s="451">
        <v>0.2</v>
      </c>
      <c r="AF114" s="451">
        <v>0.2</v>
      </c>
      <c r="AG114" s="188"/>
      <c r="AH114" s="451">
        <v>0.2</v>
      </c>
    </row>
    <row r="115" spans="1:34" x14ac:dyDescent="0.2">
      <c r="A115" s="476"/>
      <c r="B115" s="465"/>
      <c r="C115" s="476"/>
      <c r="D115" s="251"/>
      <c r="E115" s="451"/>
      <c r="F115" s="451"/>
      <c r="G115" s="451"/>
      <c r="H115" s="451"/>
      <c r="I115" s="188"/>
      <c r="J115" s="451"/>
      <c r="K115" s="451"/>
      <c r="L115" s="451"/>
      <c r="M115" s="451"/>
      <c r="N115" s="451"/>
      <c r="O115" s="188"/>
      <c r="P115" s="451"/>
      <c r="Q115" s="451"/>
      <c r="R115" s="451"/>
      <c r="S115" s="451"/>
      <c r="T115" s="451"/>
      <c r="U115" s="188"/>
      <c r="V115" s="451"/>
      <c r="W115" s="451"/>
      <c r="X115" s="451"/>
      <c r="Y115" s="451"/>
      <c r="Z115" s="451"/>
      <c r="AA115" s="186"/>
      <c r="AB115" s="451"/>
      <c r="AC115" s="451"/>
      <c r="AD115" s="451"/>
      <c r="AE115" s="451"/>
      <c r="AF115" s="451"/>
      <c r="AG115" s="188"/>
      <c r="AH115" s="451"/>
    </row>
    <row r="116" spans="1:34" x14ac:dyDescent="0.2">
      <c r="A116" s="476"/>
      <c r="B116" s="465"/>
      <c r="C116" s="476" t="s">
        <v>8</v>
      </c>
      <c r="D116" s="272" t="s">
        <v>78</v>
      </c>
      <c r="E116" s="451">
        <v>0.3</v>
      </c>
      <c r="F116" s="451">
        <v>0.3</v>
      </c>
      <c r="G116" s="451">
        <v>0.3</v>
      </c>
      <c r="H116" s="451">
        <v>0.3</v>
      </c>
      <c r="I116" s="188"/>
      <c r="J116" s="451">
        <v>0.3</v>
      </c>
      <c r="K116" s="451">
        <v>0.28999999999999998</v>
      </c>
      <c r="L116" s="451">
        <v>0.28999999999999998</v>
      </c>
      <c r="M116" s="451">
        <v>0.28999999999999998</v>
      </c>
      <c r="N116" s="451">
        <v>0.28999999999999998</v>
      </c>
      <c r="O116" s="188"/>
      <c r="P116" s="451">
        <v>0.28999999999999998</v>
      </c>
      <c r="Q116" s="451">
        <v>0.28000000000000003</v>
      </c>
      <c r="R116" s="451">
        <v>0.28000000000000003</v>
      </c>
      <c r="S116" s="451">
        <v>0.28000000000000003</v>
      </c>
      <c r="T116" s="451">
        <v>0.28000000000000003</v>
      </c>
      <c r="U116" s="188"/>
      <c r="V116" s="451">
        <v>0.28000000000000003</v>
      </c>
      <c r="W116" s="451">
        <v>0.27</v>
      </c>
      <c r="X116" s="451">
        <v>0.27</v>
      </c>
      <c r="Y116" s="451">
        <v>0.27</v>
      </c>
      <c r="Z116" s="451">
        <v>0.27</v>
      </c>
      <c r="AA116" s="186"/>
      <c r="AB116" s="451">
        <v>0.27</v>
      </c>
      <c r="AC116" s="451">
        <v>0.25</v>
      </c>
      <c r="AD116" s="451">
        <v>0.25</v>
      </c>
      <c r="AE116" s="451">
        <v>0.25</v>
      </c>
      <c r="AF116" s="451">
        <v>0.25</v>
      </c>
      <c r="AG116" s="188"/>
      <c r="AH116" s="451">
        <v>0.25</v>
      </c>
    </row>
    <row r="117" spans="1:34" x14ac:dyDescent="0.2">
      <c r="A117" s="476"/>
      <c r="B117" s="465"/>
      <c r="C117" s="476"/>
      <c r="D117" s="251"/>
      <c r="E117" s="451"/>
      <c r="F117" s="451"/>
      <c r="G117" s="451"/>
      <c r="H117" s="451"/>
      <c r="I117" s="188"/>
      <c r="J117" s="451"/>
      <c r="K117" s="451"/>
      <c r="L117" s="451"/>
      <c r="M117" s="451"/>
      <c r="N117" s="451"/>
      <c r="O117" s="188"/>
      <c r="P117" s="451"/>
      <c r="Q117" s="451"/>
      <c r="R117" s="451"/>
      <c r="S117" s="451"/>
      <c r="T117" s="451"/>
      <c r="U117" s="188"/>
      <c r="V117" s="451"/>
      <c r="W117" s="451"/>
      <c r="X117" s="451"/>
      <c r="Y117" s="451"/>
      <c r="Z117" s="451"/>
      <c r="AA117" s="186"/>
      <c r="AB117" s="451"/>
      <c r="AC117" s="451"/>
      <c r="AD117" s="451"/>
      <c r="AE117" s="451"/>
      <c r="AF117" s="451"/>
      <c r="AG117" s="188"/>
      <c r="AH117" s="451"/>
    </row>
    <row r="118" spans="1:34" x14ac:dyDescent="0.2">
      <c r="A118" s="476"/>
      <c r="B118" s="465" t="s">
        <v>86</v>
      </c>
      <c r="C118" s="476" t="s">
        <v>6</v>
      </c>
      <c r="D118" s="272" t="s">
        <v>78</v>
      </c>
      <c r="E118" s="451">
        <v>0.1</v>
      </c>
      <c r="F118" s="451">
        <v>0.1</v>
      </c>
      <c r="G118" s="451">
        <v>0.1</v>
      </c>
      <c r="H118" s="451">
        <v>0.1</v>
      </c>
      <c r="I118" s="188"/>
      <c r="J118" s="451">
        <v>0.1</v>
      </c>
      <c r="K118" s="451">
        <v>0.1</v>
      </c>
      <c r="L118" s="451">
        <v>0.1</v>
      </c>
      <c r="M118" s="451">
        <v>0.1</v>
      </c>
      <c r="N118" s="451">
        <v>0.1</v>
      </c>
      <c r="O118" s="188"/>
      <c r="P118" s="451">
        <v>0.1</v>
      </c>
      <c r="Q118" s="451">
        <v>0.1</v>
      </c>
      <c r="R118" s="451">
        <v>0.1</v>
      </c>
      <c r="S118" s="451">
        <v>0.1</v>
      </c>
      <c r="T118" s="451">
        <v>0.1</v>
      </c>
      <c r="U118" s="188"/>
      <c r="V118" s="451">
        <v>0.1</v>
      </c>
      <c r="W118" s="451">
        <v>0.1</v>
      </c>
      <c r="X118" s="451">
        <v>0.1</v>
      </c>
      <c r="Y118" s="451">
        <v>0.1</v>
      </c>
      <c r="Z118" s="451">
        <v>0.1</v>
      </c>
      <c r="AA118" s="188"/>
      <c r="AB118" s="451">
        <v>0.1</v>
      </c>
      <c r="AC118" s="451">
        <v>0.1</v>
      </c>
      <c r="AD118" s="451">
        <v>0.1</v>
      </c>
      <c r="AE118" s="451">
        <v>0.1</v>
      </c>
      <c r="AF118" s="451">
        <v>0.1</v>
      </c>
      <c r="AG118" s="188"/>
      <c r="AH118" s="451">
        <v>0.1</v>
      </c>
    </row>
    <row r="119" spans="1:34" x14ac:dyDescent="0.2">
      <c r="A119" s="476"/>
      <c r="B119" s="465"/>
      <c r="C119" s="476"/>
      <c r="D119" s="251"/>
      <c r="E119" s="451"/>
      <c r="F119" s="451"/>
      <c r="G119" s="451"/>
      <c r="H119" s="451"/>
      <c r="I119" s="188"/>
      <c r="J119" s="451"/>
      <c r="K119" s="451"/>
      <c r="L119" s="451"/>
      <c r="M119" s="451"/>
      <c r="N119" s="451"/>
      <c r="O119" s="188"/>
      <c r="P119" s="451"/>
      <c r="Q119" s="451"/>
      <c r="R119" s="451"/>
      <c r="S119" s="451"/>
      <c r="T119" s="451"/>
      <c r="U119" s="188"/>
      <c r="V119" s="451"/>
      <c r="W119" s="451"/>
      <c r="X119" s="451"/>
      <c r="Y119" s="451"/>
      <c r="Z119" s="451"/>
      <c r="AA119" s="188"/>
      <c r="AB119" s="451"/>
      <c r="AC119" s="451"/>
      <c r="AD119" s="451"/>
      <c r="AE119" s="451"/>
      <c r="AF119" s="451"/>
      <c r="AG119" s="188"/>
      <c r="AH119" s="451"/>
    </row>
    <row r="120" spans="1:34" x14ac:dyDescent="0.2">
      <c r="A120" s="476"/>
      <c r="B120" s="465"/>
      <c r="C120" s="476" t="s">
        <v>7</v>
      </c>
      <c r="D120" s="272" t="s">
        <v>78</v>
      </c>
      <c r="E120" s="451">
        <v>0.1</v>
      </c>
      <c r="F120" s="451">
        <v>0.1</v>
      </c>
      <c r="G120" s="451">
        <v>0.1</v>
      </c>
      <c r="H120" s="451">
        <v>0.1</v>
      </c>
      <c r="I120" s="188"/>
      <c r="J120" s="451">
        <v>0.1</v>
      </c>
      <c r="K120" s="451">
        <v>0.1</v>
      </c>
      <c r="L120" s="451">
        <v>0.1</v>
      </c>
      <c r="M120" s="451">
        <v>0.1</v>
      </c>
      <c r="N120" s="451">
        <v>0.1</v>
      </c>
      <c r="O120" s="188"/>
      <c r="P120" s="451">
        <v>0.1</v>
      </c>
      <c r="Q120" s="451">
        <v>0.1</v>
      </c>
      <c r="R120" s="451">
        <v>0.1</v>
      </c>
      <c r="S120" s="451">
        <v>0.1</v>
      </c>
      <c r="T120" s="451">
        <v>0.1</v>
      </c>
      <c r="U120" s="188"/>
      <c r="V120" s="451">
        <v>0.1</v>
      </c>
      <c r="W120" s="451">
        <v>0.1</v>
      </c>
      <c r="X120" s="451">
        <v>0.1</v>
      </c>
      <c r="Y120" s="451">
        <v>0.1</v>
      </c>
      <c r="Z120" s="451">
        <v>0.1</v>
      </c>
      <c r="AA120" s="188"/>
      <c r="AB120" s="451">
        <v>0.1</v>
      </c>
      <c r="AC120" s="451">
        <v>0.1</v>
      </c>
      <c r="AD120" s="451">
        <v>0.1</v>
      </c>
      <c r="AE120" s="451">
        <v>0.1</v>
      </c>
      <c r="AF120" s="451">
        <v>0.1</v>
      </c>
      <c r="AG120" s="188"/>
      <c r="AH120" s="451">
        <v>0.1</v>
      </c>
    </row>
    <row r="121" spans="1:34" x14ac:dyDescent="0.2">
      <c r="A121" s="476"/>
      <c r="B121" s="465"/>
      <c r="C121" s="476"/>
      <c r="D121" s="251"/>
      <c r="E121" s="451"/>
      <c r="F121" s="451"/>
      <c r="G121" s="451"/>
      <c r="H121" s="451"/>
      <c r="I121" s="188"/>
      <c r="J121" s="451"/>
      <c r="K121" s="451"/>
      <c r="L121" s="451"/>
      <c r="M121" s="451"/>
      <c r="N121" s="451"/>
      <c r="O121" s="188"/>
      <c r="P121" s="451"/>
      <c r="Q121" s="451"/>
      <c r="R121" s="451"/>
      <c r="S121" s="451"/>
      <c r="T121" s="451"/>
      <c r="U121" s="188"/>
      <c r="V121" s="451"/>
      <c r="W121" s="451"/>
      <c r="X121" s="451"/>
      <c r="Y121" s="451"/>
      <c r="Z121" s="451"/>
      <c r="AA121" s="188"/>
      <c r="AB121" s="451"/>
      <c r="AC121" s="451"/>
      <c r="AD121" s="451"/>
      <c r="AE121" s="451"/>
      <c r="AF121" s="451"/>
      <c r="AG121" s="188"/>
      <c r="AH121" s="451"/>
    </row>
    <row r="122" spans="1:34" x14ac:dyDescent="0.2">
      <c r="A122" s="476"/>
      <c r="B122" s="465"/>
      <c r="C122" s="476" t="s">
        <v>8</v>
      </c>
      <c r="D122" s="272" t="s">
        <v>78</v>
      </c>
      <c r="E122" s="451">
        <v>0.1</v>
      </c>
      <c r="F122" s="451">
        <v>0.1</v>
      </c>
      <c r="G122" s="451">
        <v>0.1</v>
      </c>
      <c r="H122" s="451">
        <v>0.1</v>
      </c>
      <c r="I122" s="188"/>
      <c r="J122" s="451">
        <v>0.1</v>
      </c>
      <c r="K122" s="451">
        <v>0.1</v>
      </c>
      <c r="L122" s="451">
        <v>0.1</v>
      </c>
      <c r="M122" s="451">
        <v>0.1</v>
      </c>
      <c r="N122" s="451">
        <v>0.1</v>
      </c>
      <c r="O122" s="188"/>
      <c r="P122" s="451">
        <v>0.1</v>
      </c>
      <c r="Q122" s="451">
        <v>0.1</v>
      </c>
      <c r="R122" s="451">
        <v>0.1</v>
      </c>
      <c r="S122" s="451">
        <v>0.1</v>
      </c>
      <c r="T122" s="451">
        <v>0.1</v>
      </c>
      <c r="U122" s="188"/>
      <c r="V122" s="451">
        <v>0.1</v>
      </c>
      <c r="W122" s="451">
        <v>0.1</v>
      </c>
      <c r="X122" s="451">
        <v>0.1</v>
      </c>
      <c r="Y122" s="451">
        <v>0.1</v>
      </c>
      <c r="Z122" s="451">
        <v>0.1</v>
      </c>
      <c r="AA122" s="188"/>
      <c r="AB122" s="451">
        <v>0.1</v>
      </c>
      <c r="AC122" s="451">
        <v>0.1</v>
      </c>
      <c r="AD122" s="451">
        <v>0.1</v>
      </c>
      <c r="AE122" s="451">
        <v>0.1</v>
      </c>
      <c r="AF122" s="451">
        <v>0.1</v>
      </c>
      <c r="AG122" s="188"/>
      <c r="AH122" s="451">
        <v>0.1</v>
      </c>
    </row>
    <row r="123" spans="1:34" x14ac:dyDescent="0.2">
      <c r="A123" s="476"/>
      <c r="B123" s="465"/>
      <c r="C123" s="476"/>
      <c r="D123" s="251"/>
      <c r="E123" s="451"/>
      <c r="F123" s="451"/>
      <c r="G123" s="451"/>
      <c r="H123" s="451"/>
      <c r="I123" s="188"/>
      <c r="J123" s="451"/>
      <c r="K123" s="451"/>
      <c r="L123" s="451"/>
      <c r="M123" s="451"/>
      <c r="N123" s="451"/>
      <c r="O123" s="188"/>
      <c r="P123" s="451"/>
      <c r="Q123" s="451"/>
      <c r="R123" s="451"/>
      <c r="S123" s="451"/>
      <c r="T123" s="451"/>
      <c r="U123" s="188"/>
      <c r="V123" s="451"/>
      <c r="W123" s="451"/>
      <c r="X123" s="451"/>
      <c r="Y123" s="451"/>
      <c r="Z123" s="451"/>
      <c r="AA123" s="188"/>
      <c r="AB123" s="451"/>
      <c r="AC123" s="451"/>
      <c r="AD123" s="451"/>
      <c r="AE123" s="451"/>
      <c r="AF123" s="451"/>
      <c r="AG123" s="188"/>
      <c r="AH123" s="451"/>
    </row>
    <row r="124" spans="1:34" x14ac:dyDescent="0.2">
      <c r="A124" s="176" t="s">
        <v>24</v>
      </c>
      <c r="B124" s="498" t="s">
        <v>25</v>
      </c>
      <c r="C124" s="499"/>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x14ac:dyDescent="0.2">
      <c r="A125" s="469"/>
      <c r="B125" s="465" t="s">
        <v>137</v>
      </c>
      <c r="C125" s="476" t="s">
        <v>26</v>
      </c>
      <c r="D125" s="272" t="s">
        <v>78</v>
      </c>
      <c r="E125" s="187">
        <v>5.0000000000000001E-3</v>
      </c>
      <c r="F125" s="187">
        <v>5.0000000000000001E-3</v>
      </c>
      <c r="G125" s="187">
        <v>5.0000000000000001E-3</v>
      </c>
      <c r="H125" s="187">
        <v>5.0000000000000001E-3</v>
      </c>
      <c r="I125" s="188"/>
      <c r="J125" s="459">
        <v>5.0000000000000001E-3</v>
      </c>
      <c r="K125" s="459">
        <v>5.0000000000000001E-3</v>
      </c>
      <c r="L125" s="459">
        <v>5.0000000000000001E-3</v>
      </c>
      <c r="M125" s="459">
        <v>5.0000000000000001E-3</v>
      </c>
      <c r="N125" s="459">
        <v>5.0000000000000001E-3</v>
      </c>
      <c r="O125" s="188"/>
      <c r="P125" s="459">
        <v>5.0000000000000001E-3</v>
      </c>
      <c r="Q125" s="459">
        <v>5.0000000000000001E-3</v>
      </c>
      <c r="R125" s="459">
        <v>5.0000000000000001E-3</v>
      </c>
      <c r="S125" s="459">
        <v>5.0000000000000001E-3</v>
      </c>
      <c r="T125" s="459">
        <v>5.0000000000000001E-3</v>
      </c>
      <c r="U125" s="188"/>
      <c r="V125" s="459">
        <v>5.0000000000000001E-3</v>
      </c>
      <c r="W125" s="459">
        <v>5.0000000000000001E-3</v>
      </c>
      <c r="X125" s="459">
        <v>5.0000000000000001E-3</v>
      </c>
      <c r="Y125" s="459">
        <v>5.0000000000000001E-3</v>
      </c>
      <c r="Z125" s="459">
        <v>5.0000000000000001E-3</v>
      </c>
      <c r="AA125" s="188"/>
      <c r="AB125" s="459">
        <v>5.0000000000000001E-3</v>
      </c>
      <c r="AC125" s="459">
        <v>5.0000000000000001E-3</v>
      </c>
      <c r="AD125" s="459">
        <v>5.0000000000000001E-3</v>
      </c>
      <c r="AE125" s="459">
        <v>5.0000000000000001E-3</v>
      </c>
      <c r="AF125" s="459">
        <v>5.0000000000000001E-3</v>
      </c>
      <c r="AG125" s="188"/>
      <c r="AH125" s="459">
        <v>5.0000000000000001E-3</v>
      </c>
    </row>
    <row r="126" spans="1:34" x14ac:dyDescent="0.2">
      <c r="A126" s="469"/>
      <c r="B126" s="465"/>
      <c r="C126" s="476"/>
      <c r="D126" s="251"/>
      <c r="E126" s="187"/>
      <c r="F126" s="187"/>
      <c r="G126" s="187"/>
      <c r="H126" s="187"/>
      <c r="I126" s="188"/>
      <c r="J126" s="256"/>
      <c r="K126" s="256"/>
      <c r="L126" s="256"/>
      <c r="M126" s="256"/>
      <c r="N126" s="256"/>
      <c r="O126" s="188"/>
      <c r="P126" s="256"/>
      <c r="Q126" s="256"/>
      <c r="R126" s="256"/>
      <c r="S126" s="256"/>
      <c r="T126" s="256"/>
      <c r="U126" s="188"/>
      <c r="V126" s="256"/>
      <c r="W126" s="256"/>
      <c r="X126" s="256"/>
      <c r="Y126" s="256"/>
      <c r="Z126" s="256"/>
      <c r="AA126" s="188"/>
      <c r="AB126" s="256"/>
      <c r="AC126" s="256"/>
      <c r="AD126" s="256"/>
      <c r="AE126" s="256"/>
      <c r="AF126" s="256"/>
      <c r="AG126" s="188"/>
      <c r="AH126" s="256"/>
    </row>
    <row r="127" spans="1:34" x14ac:dyDescent="0.2">
      <c r="A127" s="469"/>
      <c r="B127" s="465"/>
      <c r="C127" s="476" t="s">
        <v>7</v>
      </c>
      <c r="D127" s="272" t="s">
        <v>78</v>
      </c>
      <c r="E127" s="454">
        <v>0.02</v>
      </c>
      <c r="F127" s="454">
        <v>0.02</v>
      </c>
      <c r="G127" s="454">
        <v>0.02</v>
      </c>
      <c r="H127" s="454">
        <v>0.02</v>
      </c>
      <c r="I127" s="188"/>
      <c r="J127" s="454">
        <v>0.02</v>
      </c>
      <c r="K127" s="454">
        <v>0.02</v>
      </c>
      <c r="L127" s="454">
        <v>0.02</v>
      </c>
      <c r="M127" s="454">
        <v>0.02</v>
      </c>
      <c r="N127" s="454">
        <v>0.02</v>
      </c>
      <c r="O127" s="188"/>
      <c r="P127" s="454">
        <v>0.02</v>
      </c>
      <c r="Q127" s="454">
        <v>0.02</v>
      </c>
      <c r="R127" s="454">
        <v>0.02</v>
      </c>
      <c r="S127" s="454">
        <v>0.02</v>
      </c>
      <c r="T127" s="454">
        <v>0.02</v>
      </c>
      <c r="U127" s="188"/>
      <c r="V127" s="454">
        <v>0.02</v>
      </c>
      <c r="W127" s="454">
        <v>0.02</v>
      </c>
      <c r="X127" s="454">
        <v>0.02</v>
      </c>
      <c r="Y127" s="454">
        <v>0.02</v>
      </c>
      <c r="Z127" s="454">
        <v>0.02</v>
      </c>
      <c r="AA127" s="188"/>
      <c r="AB127" s="454">
        <v>0.02</v>
      </c>
      <c r="AC127" s="454">
        <v>0.02</v>
      </c>
      <c r="AD127" s="454">
        <v>0.02</v>
      </c>
      <c r="AE127" s="454">
        <v>0.02</v>
      </c>
      <c r="AF127" s="454">
        <v>0.02</v>
      </c>
      <c r="AG127" s="188"/>
      <c r="AH127" s="454">
        <v>0.02</v>
      </c>
    </row>
    <row r="128" spans="1:34" x14ac:dyDescent="0.2">
      <c r="A128" s="469"/>
      <c r="B128" s="465"/>
      <c r="C128" s="476"/>
      <c r="D128" s="251"/>
      <c r="E128" s="454"/>
      <c r="F128" s="454"/>
      <c r="G128" s="454"/>
      <c r="H128" s="454"/>
      <c r="I128" s="188"/>
      <c r="J128" s="454"/>
      <c r="K128" s="454"/>
      <c r="L128" s="454"/>
      <c r="M128" s="454"/>
      <c r="N128" s="454"/>
      <c r="O128" s="188"/>
      <c r="P128" s="454"/>
      <c r="Q128" s="454"/>
      <c r="R128" s="454"/>
      <c r="S128" s="454"/>
      <c r="T128" s="454"/>
      <c r="U128" s="188"/>
      <c r="V128" s="454"/>
      <c r="W128" s="454"/>
      <c r="X128" s="454"/>
      <c r="Y128" s="454"/>
      <c r="Z128" s="454"/>
      <c r="AA128" s="188"/>
      <c r="AB128" s="454"/>
      <c r="AC128" s="454"/>
      <c r="AD128" s="454"/>
      <c r="AE128" s="454"/>
      <c r="AF128" s="454"/>
      <c r="AG128" s="188"/>
      <c r="AH128" s="454"/>
    </row>
    <row r="129" spans="1:34" x14ac:dyDescent="0.2">
      <c r="A129" s="469"/>
      <c r="B129" s="465"/>
      <c r="C129" s="476" t="s">
        <v>8</v>
      </c>
      <c r="D129" s="272" t="s">
        <v>78</v>
      </c>
      <c r="E129" s="454">
        <v>1.4999999999999999E-2</v>
      </c>
      <c r="F129" s="454">
        <v>1.4999999999999999E-2</v>
      </c>
      <c r="G129" s="454">
        <v>1.4999999999999999E-2</v>
      </c>
      <c r="H129" s="454">
        <v>1.4999999999999999E-2</v>
      </c>
      <c r="I129" s="188"/>
      <c r="J129" s="454">
        <v>1.4999999999999999E-2</v>
      </c>
      <c r="K129" s="454">
        <v>1.4999999999999999E-2</v>
      </c>
      <c r="L129" s="454">
        <v>1.4999999999999999E-2</v>
      </c>
      <c r="M129" s="454">
        <v>1.4999999999999999E-2</v>
      </c>
      <c r="N129" s="454">
        <v>1.4999999999999999E-2</v>
      </c>
      <c r="O129" s="188"/>
      <c r="P129" s="454">
        <v>1.4999999999999999E-2</v>
      </c>
      <c r="Q129" s="454">
        <v>1.4999999999999999E-2</v>
      </c>
      <c r="R129" s="454">
        <v>1.4999999999999999E-2</v>
      </c>
      <c r="S129" s="454">
        <v>1.4999999999999999E-2</v>
      </c>
      <c r="T129" s="454">
        <v>1.4999999999999999E-2</v>
      </c>
      <c r="U129" s="188"/>
      <c r="V129" s="454">
        <v>1.4999999999999999E-2</v>
      </c>
      <c r="W129" s="454">
        <v>1.4999999999999999E-2</v>
      </c>
      <c r="X129" s="454">
        <v>1.4999999999999999E-2</v>
      </c>
      <c r="Y129" s="454">
        <v>1.4999999999999999E-2</v>
      </c>
      <c r="Z129" s="454">
        <v>1.4999999999999999E-2</v>
      </c>
      <c r="AA129" s="188"/>
      <c r="AB129" s="454">
        <v>1.4999999999999999E-2</v>
      </c>
      <c r="AC129" s="454">
        <v>1.4999999999999999E-2</v>
      </c>
      <c r="AD129" s="454">
        <v>1.4999999999999999E-2</v>
      </c>
      <c r="AE129" s="454">
        <v>1.4999999999999999E-2</v>
      </c>
      <c r="AF129" s="454">
        <v>1.4999999999999999E-2</v>
      </c>
      <c r="AG129" s="188"/>
      <c r="AH129" s="454">
        <v>1.4999999999999999E-2</v>
      </c>
    </row>
    <row r="130" spans="1:34" x14ac:dyDescent="0.2">
      <c r="A130" s="469"/>
      <c r="B130" s="465"/>
      <c r="C130" s="476"/>
      <c r="D130" s="251"/>
      <c r="E130" s="454"/>
      <c r="F130" s="454"/>
      <c r="G130" s="454"/>
      <c r="H130" s="454"/>
      <c r="I130" s="188"/>
      <c r="J130" s="454"/>
      <c r="K130" s="454"/>
      <c r="L130" s="454"/>
      <c r="M130" s="454"/>
      <c r="N130" s="454"/>
      <c r="O130" s="188"/>
      <c r="P130" s="454"/>
      <c r="Q130" s="454"/>
      <c r="R130" s="454"/>
      <c r="S130" s="454"/>
      <c r="T130" s="454"/>
      <c r="U130" s="188"/>
      <c r="V130" s="454"/>
      <c r="W130" s="454"/>
      <c r="X130" s="454"/>
      <c r="Y130" s="454"/>
      <c r="Z130" s="454"/>
      <c r="AA130" s="188"/>
      <c r="AB130" s="454"/>
      <c r="AC130" s="454"/>
      <c r="AD130" s="454"/>
      <c r="AE130" s="454"/>
      <c r="AF130" s="454"/>
      <c r="AG130" s="188"/>
      <c r="AH130" s="454"/>
    </row>
    <row r="131" spans="1:34" x14ac:dyDescent="0.2">
      <c r="A131" s="469"/>
      <c r="B131" s="465" t="s">
        <v>138</v>
      </c>
      <c r="C131" s="476" t="s">
        <v>26</v>
      </c>
      <c r="D131" s="272" t="s">
        <v>78</v>
      </c>
      <c r="E131" s="454">
        <v>5.0000000000000001E-3</v>
      </c>
      <c r="F131" s="454">
        <v>5.0000000000000001E-3</v>
      </c>
      <c r="G131" s="454">
        <v>5.0000000000000001E-3</v>
      </c>
      <c r="H131" s="454">
        <v>5.0000000000000001E-3</v>
      </c>
      <c r="I131" s="188"/>
      <c r="J131" s="454">
        <v>5.0000000000000001E-3</v>
      </c>
      <c r="K131" s="454">
        <v>5.0000000000000001E-3</v>
      </c>
      <c r="L131" s="454">
        <v>5.0000000000000001E-3</v>
      </c>
      <c r="M131" s="454">
        <v>5.0000000000000001E-3</v>
      </c>
      <c r="N131" s="454">
        <v>5.0000000000000001E-3</v>
      </c>
      <c r="O131" s="188"/>
      <c r="P131" s="454">
        <v>5.0000000000000001E-3</v>
      </c>
      <c r="Q131" s="454">
        <v>5.0000000000000001E-3</v>
      </c>
      <c r="R131" s="454">
        <v>5.0000000000000001E-3</v>
      </c>
      <c r="S131" s="454">
        <v>5.0000000000000001E-3</v>
      </c>
      <c r="T131" s="454">
        <v>5.0000000000000001E-3</v>
      </c>
      <c r="U131" s="188"/>
      <c r="V131" s="454">
        <v>5.0000000000000001E-3</v>
      </c>
      <c r="W131" s="454">
        <v>5.0000000000000001E-3</v>
      </c>
      <c r="X131" s="454">
        <v>5.0000000000000001E-3</v>
      </c>
      <c r="Y131" s="454">
        <v>5.0000000000000001E-3</v>
      </c>
      <c r="Z131" s="454">
        <v>5.0000000000000001E-3</v>
      </c>
      <c r="AA131" s="188"/>
      <c r="AB131" s="454">
        <v>5.0000000000000001E-3</v>
      </c>
      <c r="AC131" s="454">
        <v>5.0000000000000001E-3</v>
      </c>
      <c r="AD131" s="454">
        <v>5.0000000000000001E-3</v>
      </c>
      <c r="AE131" s="454">
        <v>5.0000000000000001E-3</v>
      </c>
      <c r="AF131" s="454">
        <v>5.0000000000000001E-3</v>
      </c>
      <c r="AG131" s="188"/>
      <c r="AH131" s="454">
        <v>5.0000000000000001E-3</v>
      </c>
    </row>
    <row r="132" spans="1:34" x14ac:dyDescent="0.2">
      <c r="A132" s="469"/>
      <c r="B132" s="465"/>
      <c r="C132" s="476"/>
      <c r="D132" s="251"/>
      <c r="E132" s="454"/>
      <c r="F132" s="454"/>
      <c r="G132" s="454"/>
      <c r="H132" s="454"/>
      <c r="I132" s="188"/>
      <c r="J132" s="454"/>
      <c r="K132" s="454"/>
      <c r="L132" s="454"/>
      <c r="M132" s="454"/>
      <c r="N132" s="454"/>
      <c r="O132" s="188"/>
      <c r="P132" s="454"/>
      <c r="Q132" s="454"/>
      <c r="R132" s="454"/>
      <c r="S132" s="454"/>
      <c r="T132" s="454"/>
      <c r="U132" s="188"/>
      <c r="V132" s="454"/>
      <c r="W132" s="454"/>
      <c r="X132" s="454"/>
      <c r="Y132" s="454"/>
      <c r="Z132" s="454"/>
      <c r="AA132" s="188"/>
      <c r="AB132" s="454"/>
      <c r="AC132" s="454"/>
      <c r="AD132" s="454"/>
      <c r="AE132" s="454"/>
      <c r="AF132" s="454"/>
      <c r="AG132" s="188"/>
      <c r="AH132" s="454"/>
    </row>
    <row r="133" spans="1:34" x14ac:dyDescent="0.2">
      <c r="A133" s="469"/>
      <c r="B133" s="465"/>
      <c r="C133" s="476" t="s">
        <v>7</v>
      </c>
      <c r="D133" s="272" t="s">
        <v>78</v>
      </c>
      <c r="E133" s="451">
        <v>0.02</v>
      </c>
      <c r="F133" s="451">
        <v>0.02</v>
      </c>
      <c r="G133" s="451">
        <v>0.02</v>
      </c>
      <c r="H133" s="451">
        <v>0.02</v>
      </c>
      <c r="I133" s="188"/>
      <c r="J133" s="451">
        <v>0.02</v>
      </c>
      <c r="K133" s="451">
        <v>0.02</v>
      </c>
      <c r="L133" s="451">
        <v>0.02</v>
      </c>
      <c r="M133" s="451">
        <v>0.02</v>
      </c>
      <c r="N133" s="451">
        <v>0.02</v>
      </c>
      <c r="O133" s="188"/>
      <c r="P133" s="451">
        <v>0.02</v>
      </c>
      <c r="Q133" s="451">
        <v>0.02</v>
      </c>
      <c r="R133" s="451">
        <v>0.02</v>
      </c>
      <c r="S133" s="451">
        <v>0.02</v>
      </c>
      <c r="T133" s="451">
        <v>0.02</v>
      </c>
      <c r="U133" s="188"/>
      <c r="V133" s="451">
        <v>0.02</v>
      </c>
      <c r="W133" s="451">
        <v>0.02</v>
      </c>
      <c r="X133" s="451">
        <v>0.02</v>
      </c>
      <c r="Y133" s="451">
        <v>0.02</v>
      </c>
      <c r="Z133" s="451">
        <v>0.02</v>
      </c>
      <c r="AA133" s="188"/>
      <c r="AB133" s="451">
        <v>0.02</v>
      </c>
      <c r="AC133" s="451">
        <v>0.02</v>
      </c>
      <c r="AD133" s="451">
        <v>0.02</v>
      </c>
      <c r="AE133" s="451">
        <v>0.02</v>
      </c>
      <c r="AF133" s="451">
        <v>0.02</v>
      </c>
      <c r="AG133" s="188"/>
      <c r="AH133" s="451">
        <v>0.02</v>
      </c>
    </row>
    <row r="134" spans="1:34" x14ac:dyDescent="0.2">
      <c r="A134" s="469"/>
      <c r="B134" s="465"/>
      <c r="C134" s="476"/>
      <c r="D134" s="251"/>
      <c r="E134" s="451"/>
      <c r="F134" s="451"/>
      <c r="G134" s="451"/>
      <c r="H134" s="451"/>
      <c r="I134" s="188"/>
      <c r="J134" s="451"/>
      <c r="K134" s="451"/>
      <c r="L134" s="451"/>
      <c r="M134" s="451"/>
      <c r="N134" s="451"/>
      <c r="O134" s="188"/>
      <c r="P134" s="451"/>
      <c r="Q134" s="451"/>
      <c r="R134" s="451"/>
      <c r="S134" s="451"/>
      <c r="T134" s="451"/>
      <c r="U134" s="188"/>
      <c r="V134" s="451"/>
      <c r="W134" s="451"/>
      <c r="X134" s="451"/>
      <c r="Y134" s="451"/>
      <c r="Z134" s="451"/>
      <c r="AA134" s="188"/>
      <c r="AB134" s="451"/>
      <c r="AC134" s="451"/>
      <c r="AD134" s="451"/>
      <c r="AE134" s="451"/>
      <c r="AF134" s="451"/>
      <c r="AG134" s="188"/>
      <c r="AH134" s="451"/>
    </row>
    <row r="135" spans="1:34" x14ac:dyDescent="0.2">
      <c r="A135" s="469"/>
      <c r="B135" s="465"/>
      <c r="C135" s="476" t="s">
        <v>8</v>
      </c>
      <c r="D135" s="272" t="s">
        <v>78</v>
      </c>
      <c r="E135" s="454">
        <v>1.4999999999999999E-2</v>
      </c>
      <c r="F135" s="454">
        <v>1.4999999999999999E-2</v>
      </c>
      <c r="G135" s="454">
        <v>1.4999999999999999E-2</v>
      </c>
      <c r="H135" s="454">
        <v>1.4999999999999999E-2</v>
      </c>
      <c r="I135" s="188"/>
      <c r="J135" s="454">
        <v>1.4999999999999999E-2</v>
      </c>
      <c r="K135" s="454">
        <v>1.4999999999999999E-2</v>
      </c>
      <c r="L135" s="454">
        <v>1.4999999999999999E-2</v>
      </c>
      <c r="M135" s="454">
        <v>1.4999999999999999E-2</v>
      </c>
      <c r="N135" s="454">
        <v>1.4999999999999999E-2</v>
      </c>
      <c r="O135" s="188"/>
      <c r="P135" s="454">
        <v>1.4999999999999999E-2</v>
      </c>
      <c r="Q135" s="454">
        <v>1.4999999999999999E-2</v>
      </c>
      <c r="R135" s="454">
        <v>1.4999999999999999E-2</v>
      </c>
      <c r="S135" s="454">
        <v>1.4999999999999999E-2</v>
      </c>
      <c r="T135" s="454">
        <v>1.4999999999999999E-2</v>
      </c>
      <c r="U135" s="188"/>
      <c r="V135" s="454">
        <v>1.4999999999999999E-2</v>
      </c>
      <c r="W135" s="454">
        <v>1.4999999999999999E-2</v>
      </c>
      <c r="X135" s="454">
        <v>1.4999999999999999E-2</v>
      </c>
      <c r="Y135" s="454">
        <v>1.4999999999999999E-2</v>
      </c>
      <c r="Z135" s="454">
        <v>1.4999999999999999E-2</v>
      </c>
      <c r="AA135" s="188"/>
      <c r="AB135" s="454">
        <v>1.4999999999999999E-2</v>
      </c>
      <c r="AC135" s="454">
        <v>1.4999999999999999E-2</v>
      </c>
      <c r="AD135" s="454">
        <v>1.4999999999999999E-2</v>
      </c>
      <c r="AE135" s="454">
        <v>1.4999999999999999E-2</v>
      </c>
      <c r="AF135" s="454">
        <v>1.4999999999999999E-2</v>
      </c>
      <c r="AG135" s="188"/>
      <c r="AH135" s="454">
        <v>1.4999999999999999E-2</v>
      </c>
    </row>
    <row r="136" spans="1:34" x14ac:dyDescent="0.2">
      <c r="A136" s="469"/>
      <c r="B136" s="465"/>
      <c r="C136" s="476"/>
      <c r="D136" s="251"/>
      <c r="E136" s="454"/>
      <c r="F136" s="454"/>
      <c r="G136" s="454"/>
      <c r="H136" s="454"/>
      <c r="I136" s="188"/>
      <c r="J136" s="454"/>
      <c r="K136" s="454"/>
      <c r="L136" s="454"/>
      <c r="M136" s="454"/>
      <c r="N136" s="454"/>
      <c r="O136" s="188"/>
      <c r="P136" s="454"/>
      <c r="Q136" s="454"/>
      <c r="R136" s="454"/>
      <c r="S136" s="454"/>
      <c r="T136" s="454"/>
      <c r="U136" s="188"/>
      <c r="V136" s="454"/>
      <c r="W136" s="454"/>
      <c r="X136" s="454"/>
      <c r="Y136" s="454"/>
      <c r="Z136" s="454"/>
      <c r="AA136" s="188"/>
      <c r="AB136" s="454"/>
      <c r="AC136" s="454"/>
      <c r="AD136" s="454"/>
      <c r="AE136" s="454"/>
      <c r="AF136" s="454"/>
      <c r="AG136" s="188"/>
      <c r="AH136" s="454"/>
    </row>
    <row r="137" spans="1:34" x14ac:dyDescent="0.2">
      <c r="A137" s="469"/>
      <c r="B137" s="465" t="s">
        <v>87</v>
      </c>
      <c r="C137" s="475" t="s">
        <v>6</v>
      </c>
      <c r="D137" s="272" t="s">
        <v>78</v>
      </c>
      <c r="E137" s="454">
        <v>2.0000000000000001E-4</v>
      </c>
      <c r="F137" s="454">
        <v>2.0000000000000001E-4</v>
      </c>
      <c r="G137" s="454">
        <v>2.0000000000000001E-4</v>
      </c>
      <c r="H137" s="454">
        <v>2.0000000000000001E-4</v>
      </c>
      <c r="I137" s="188"/>
      <c r="J137" s="454">
        <v>2.0000000000000001E-4</v>
      </c>
      <c r="K137" s="454">
        <v>2.0000000000000001E-4</v>
      </c>
      <c r="L137" s="454">
        <v>2.0000000000000001E-4</v>
      </c>
      <c r="M137" s="454">
        <v>2.0000000000000001E-4</v>
      </c>
      <c r="N137" s="454">
        <v>2.0000000000000001E-4</v>
      </c>
      <c r="O137" s="188"/>
      <c r="P137" s="454">
        <v>2.0000000000000001E-4</v>
      </c>
      <c r="Q137" s="454">
        <v>2.0000000000000001E-4</v>
      </c>
      <c r="R137" s="454">
        <v>2.0000000000000001E-4</v>
      </c>
      <c r="S137" s="454">
        <v>2.0000000000000001E-4</v>
      </c>
      <c r="T137" s="454">
        <v>2.0000000000000001E-4</v>
      </c>
      <c r="U137" s="188"/>
      <c r="V137" s="454">
        <v>2.0000000000000001E-4</v>
      </c>
      <c r="W137" s="454">
        <v>2.0000000000000001E-4</v>
      </c>
      <c r="X137" s="454">
        <v>2.0000000000000001E-4</v>
      </c>
      <c r="Y137" s="454">
        <v>2.0000000000000001E-4</v>
      </c>
      <c r="Z137" s="454">
        <v>2.0000000000000001E-4</v>
      </c>
      <c r="AA137" s="188"/>
      <c r="AB137" s="454">
        <v>2.0000000000000001E-4</v>
      </c>
      <c r="AC137" s="454">
        <v>2.0000000000000001E-4</v>
      </c>
      <c r="AD137" s="454">
        <v>2.0000000000000001E-4</v>
      </c>
      <c r="AE137" s="454">
        <v>2.0000000000000001E-4</v>
      </c>
      <c r="AF137" s="454">
        <v>2.0000000000000001E-4</v>
      </c>
      <c r="AG137" s="188"/>
      <c r="AH137" s="454">
        <v>2.0000000000000001E-4</v>
      </c>
    </row>
    <row r="138" spans="1:34" x14ac:dyDescent="0.2">
      <c r="A138" s="469"/>
      <c r="B138" s="465"/>
      <c r="C138" s="475"/>
      <c r="D138" s="251"/>
      <c r="E138" s="454"/>
      <c r="F138" s="454"/>
      <c r="G138" s="454"/>
      <c r="H138" s="454"/>
      <c r="I138" s="188"/>
      <c r="J138" s="454"/>
      <c r="K138" s="454"/>
      <c r="L138" s="454"/>
      <c r="M138" s="454"/>
      <c r="N138" s="454"/>
      <c r="O138" s="188"/>
      <c r="P138" s="454"/>
      <c r="Q138" s="454"/>
      <c r="R138" s="454"/>
      <c r="S138" s="454"/>
      <c r="T138" s="454"/>
      <c r="U138" s="188"/>
      <c r="V138" s="454"/>
      <c r="W138" s="454"/>
      <c r="X138" s="454"/>
      <c r="Y138" s="454"/>
      <c r="Z138" s="454"/>
      <c r="AA138" s="188"/>
      <c r="AB138" s="454"/>
      <c r="AC138" s="454"/>
      <c r="AD138" s="454"/>
      <c r="AE138" s="454"/>
      <c r="AF138" s="454"/>
      <c r="AG138" s="188"/>
      <c r="AH138" s="454"/>
    </row>
    <row r="139" spans="1:34" x14ac:dyDescent="0.2">
      <c r="A139" s="469"/>
      <c r="B139" s="465"/>
      <c r="C139" s="475" t="s">
        <v>7</v>
      </c>
      <c r="D139" s="272" t="s">
        <v>78</v>
      </c>
      <c r="E139" s="451">
        <v>0.01</v>
      </c>
      <c r="F139" s="451">
        <v>0.01</v>
      </c>
      <c r="G139" s="451">
        <v>0.01</v>
      </c>
      <c r="H139" s="451">
        <v>0.01</v>
      </c>
      <c r="I139" s="188"/>
      <c r="J139" s="451">
        <v>0.01</v>
      </c>
      <c r="K139" s="451">
        <v>0.01</v>
      </c>
      <c r="L139" s="451">
        <v>0.01</v>
      </c>
      <c r="M139" s="451">
        <v>0.01</v>
      </c>
      <c r="N139" s="451">
        <v>0.01</v>
      </c>
      <c r="O139" s="188"/>
      <c r="P139" s="451">
        <v>0.01</v>
      </c>
      <c r="Q139" s="451">
        <v>0.01</v>
      </c>
      <c r="R139" s="451">
        <v>0.01</v>
      </c>
      <c r="S139" s="451">
        <v>0.01</v>
      </c>
      <c r="T139" s="451">
        <v>0.01</v>
      </c>
      <c r="U139" s="188"/>
      <c r="V139" s="451">
        <v>0.01</v>
      </c>
      <c r="W139" s="451">
        <v>0.01</v>
      </c>
      <c r="X139" s="451">
        <v>0.01</v>
      </c>
      <c r="Y139" s="451">
        <v>0.01</v>
      </c>
      <c r="Z139" s="451">
        <v>0.01</v>
      </c>
      <c r="AA139" s="188"/>
      <c r="AB139" s="451">
        <v>0.01</v>
      </c>
      <c r="AC139" s="451">
        <v>0.01</v>
      </c>
      <c r="AD139" s="451">
        <v>0.01</v>
      </c>
      <c r="AE139" s="451">
        <v>0.01</v>
      </c>
      <c r="AF139" s="451">
        <v>0.01</v>
      </c>
      <c r="AG139" s="188"/>
      <c r="AH139" s="451">
        <v>0.01</v>
      </c>
    </row>
    <row r="140" spans="1:34" x14ac:dyDescent="0.2">
      <c r="A140" s="469"/>
      <c r="B140" s="465"/>
      <c r="C140" s="475"/>
      <c r="D140" s="251"/>
      <c r="E140" s="451"/>
      <c r="F140" s="451"/>
      <c r="G140" s="451"/>
      <c r="H140" s="451"/>
      <c r="I140" s="188"/>
      <c r="J140" s="451"/>
      <c r="K140" s="451"/>
      <c r="L140" s="451"/>
      <c r="M140" s="451"/>
      <c r="N140" s="451"/>
      <c r="O140" s="188"/>
      <c r="P140" s="451"/>
      <c r="Q140" s="451"/>
      <c r="R140" s="451"/>
      <c r="S140" s="451"/>
      <c r="T140" s="451"/>
      <c r="U140" s="188"/>
      <c r="V140" s="451"/>
      <c r="W140" s="451"/>
      <c r="X140" s="451"/>
      <c r="Y140" s="451"/>
      <c r="Z140" s="451"/>
      <c r="AA140" s="188"/>
      <c r="AB140" s="451"/>
      <c r="AC140" s="451"/>
      <c r="AD140" s="451"/>
      <c r="AE140" s="451"/>
      <c r="AF140" s="451"/>
      <c r="AG140" s="188"/>
      <c r="AH140" s="451"/>
    </row>
    <row r="141" spans="1:34" x14ac:dyDescent="0.2">
      <c r="A141" s="469"/>
      <c r="B141" s="465"/>
      <c r="C141" s="475" t="s">
        <v>8</v>
      </c>
      <c r="D141" s="272" t="s">
        <v>78</v>
      </c>
      <c r="E141" s="454">
        <v>5.0000000000000001E-3</v>
      </c>
      <c r="F141" s="454">
        <v>5.0000000000000001E-3</v>
      </c>
      <c r="G141" s="454">
        <v>5.0000000000000001E-3</v>
      </c>
      <c r="H141" s="454">
        <v>5.0000000000000001E-3</v>
      </c>
      <c r="I141" s="188"/>
      <c r="J141" s="454">
        <v>5.0000000000000001E-3</v>
      </c>
      <c r="K141" s="454">
        <v>5.0000000000000001E-3</v>
      </c>
      <c r="L141" s="454">
        <v>5.0000000000000001E-3</v>
      </c>
      <c r="M141" s="454">
        <v>5.0000000000000001E-3</v>
      </c>
      <c r="N141" s="454">
        <v>5.0000000000000001E-3</v>
      </c>
      <c r="O141" s="188"/>
      <c r="P141" s="454">
        <v>5.0000000000000001E-3</v>
      </c>
      <c r="Q141" s="454">
        <v>5.0000000000000001E-3</v>
      </c>
      <c r="R141" s="454">
        <v>5.0000000000000001E-3</v>
      </c>
      <c r="S141" s="454">
        <v>5.0000000000000001E-3</v>
      </c>
      <c r="T141" s="454">
        <v>5.0000000000000001E-3</v>
      </c>
      <c r="U141" s="188"/>
      <c r="V141" s="454">
        <v>5.0000000000000001E-3</v>
      </c>
      <c r="W141" s="454">
        <v>5.0000000000000001E-3</v>
      </c>
      <c r="X141" s="454">
        <v>5.0000000000000001E-3</v>
      </c>
      <c r="Y141" s="454">
        <v>5.0000000000000001E-3</v>
      </c>
      <c r="Z141" s="454">
        <v>5.0000000000000001E-3</v>
      </c>
      <c r="AA141" s="188"/>
      <c r="AB141" s="454">
        <v>5.0000000000000001E-3</v>
      </c>
      <c r="AC141" s="454">
        <v>5.0000000000000001E-3</v>
      </c>
      <c r="AD141" s="454">
        <v>5.0000000000000001E-3</v>
      </c>
      <c r="AE141" s="454">
        <v>5.0000000000000001E-3</v>
      </c>
      <c r="AF141" s="454">
        <v>5.0000000000000001E-3</v>
      </c>
      <c r="AG141" s="188"/>
      <c r="AH141" s="454">
        <v>5.0000000000000001E-3</v>
      </c>
    </row>
    <row r="142" spans="1:34" x14ac:dyDescent="0.2">
      <c r="A142" s="469"/>
      <c r="B142" s="465"/>
      <c r="C142" s="475"/>
      <c r="D142" s="251"/>
      <c r="E142" s="454"/>
      <c r="F142" s="454"/>
      <c r="G142" s="454"/>
      <c r="H142" s="454"/>
      <c r="I142" s="188"/>
      <c r="J142" s="454"/>
      <c r="K142" s="454"/>
      <c r="L142" s="454"/>
      <c r="M142" s="454"/>
      <c r="N142" s="454"/>
      <c r="O142" s="188"/>
      <c r="P142" s="454"/>
      <c r="Q142" s="454"/>
      <c r="R142" s="454"/>
      <c r="S142" s="454"/>
      <c r="T142" s="454"/>
      <c r="U142" s="188"/>
      <c r="V142" s="454"/>
      <c r="W142" s="454"/>
      <c r="X142" s="454"/>
      <c r="Y142" s="454"/>
      <c r="Z142" s="454"/>
      <c r="AA142" s="188"/>
      <c r="AB142" s="454"/>
      <c r="AC142" s="454"/>
      <c r="AD142" s="454"/>
      <c r="AE142" s="454"/>
      <c r="AF142" s="454"/>
      <c r="AG142" s="188"/>
      <c r="AH142" s="454"/>
    </row>
    <row r="143" spans="1:34" x14ac:dyDescent="0.2">
      <c r="A143" s="469"/>
      <c r="B143" s="465" t="s">
        <v>139</v>
      </c>
      <c r="C143" s="186" t="s">
        <v>6</v>
      </c>
      <c r="D143" s="24" t="s">
        <v>135</v>
      </c>
      <c r="E143" s="181">
        <v>5</v>
      </c>
      <c r="F143" s="181">
        <v>5</v>
      </c>
      <c r="G143" s="181">
        <v>5</v>
      </c>
      <c r="H143" s="181">
        <v>5</v>
      </c>
      <c r="I143" s="188"/>
      <c r="J143" s="192">
        <v>20</v>
      </c>
      <c r="K143" s="181">
        <v>5</v>
      </c>
      <c r="L143" s="181">
        <v>5</v>
      </c>
      <c r="M143" s="181">
        <v>5</v>
      </c>
      <c r="N143" s="181">
        <v>5</v>
      </c>
      <c r="O143" s="188"/>
      <c r="P143" s="192">
        <v>20</v>
      </c>
      <c r="Q143" s="181">
        <v>5</v>
      </c>
      <c r="R143" s="181">
        <v>5</v>
      </c>
      <c r="S143" s="181">
        <v>5</v>
      </c>
      <c r="T143" s="181">
        <v>5</v>
      </c>
      <c r="U143" s="188"/>
      <c r="V143" s="192">
        <v>20</v>
      </c>
      <c r="W143" s="181">
        <v>5</v>
      </c>
      <c r="X143" s="181">
        <v>5</v>
      </c>
      <c r="Y143" s="181">
        <v>5</v>
      </c>
      <c r="Z143" s="181">
        <v>5</v>
      </c>
      <c r="AA143" s="188"/>
      <c r="AB143" s="192">
        <v>20</v>
      </c>
      <c r="AC143" s="181">
        <v>5</v>
      </c>
      <c r="AD143" s="181">
        <v>5</v>
      </c>
      <c r="AE143" s="181">
        <v>5</v>
      </c>
      <c r="AF143" s="181">
        <v>5</v>
      </c>
      <c r="AG143" s="188"/>
      <c r="AH143" s="192">
        <v>20</v>
      </c>
    </row>
    <row r="144" spans="1:34" x14ac:dyDescent="0.2">
      <c r="A144" s="469"/>
      <c r="B144" s="465"/>
      <c r="C144" s="186" t="s">
        <v>7</v>
      </c>
      <c r="D144" s="24" t="s">
        <v>135</v>
      </c>
      <c r="E144" s="181">
        <v>0</v>
      </c>
      <c r="F144" s="181">
        <v>0</v>
      </c>
      <c r="G144" s="186">
        <v>0</v>
      </c>
      <c r="H144" s="186">
        <v>1</v>
      </c>
      <c r="I144" s="188"/>
      <c r="J144" s="192">
        <v>1</v>
      </c>
      <c r="K144" s="181">
        <v>0</v>
      </c>
      <c r="L144" s="181">
        <v>0</v>
      </c>
      <c r="M144" s="186">
        <v>0</v>
      </c>
      <c r="N144" s="186">
        <v>1</v>
      </c>
      <c r="O144" s="188"/>
      <c r="P144" s="192">
        <v>1</v>
      </c>
      <c r="Q144" s="181">
        <v>0</v>
      </c>
      <c r="R144" s="181">
        <v>0</v>
      </c>
      <c r="S144" s="186">
        <v>0</v>
      </c>
      <c r="T144" s="186">
        <v>1</v>
      </c>
      <c r="U144" s="188"/>
      <c r="V144" s="192">
        <v>1</v>
      </c>
      <c r="W144" s="181">
        <v>0</v>
      </c>
      <c r="X144" s="181">
        <v>0</v>
      </c>
      <c r="Y144" s="186">
        <v>0</v>
      </c>
      <c r="Z144" s="186">
        <v>1</v>
      </c>
      <c r="AA144" s="188"/>
      <c r="AB144" s="192">
        <v>1</v>
      </c>
      <c r="AC144" s="181">
        <v>0</v>
      </c>
      <c r="AD144" s="181">
        <v>0</v>
      </c>
      <c r="AE144" s="186">
        <v>0</v>
      </c>
      <c r="AF144" s="186">
        <v>1</v>
      </c>
      <c r="AG144" s="188"/>
      <c r="AH144" s="192">
        <v>1</v>
      </c>
    </row>
    <row r="145" spans="1:34" x14ac:dyDescent="0.2">
      <c r="A145" s="469"/>
      <c r="B145" s="465"/>
      <c r="C145" s="186" t="s">
        <v>8</v>
      </c>
      <c r="D145" s="24" t="s">
        <v>135</v>
      </c>
      <c r="E145" s="181">
        <v>2</v>
      </c>
      <c r="F145" s="181">
        <v>2</v>
      </c>
      <c r="G145" s="181">
        <v>2</v>
      </c>
      <c r="H145" s="181">
        <v>4</v>
      </c>
      <c r="I145" s="188"/>
      <c r="J145" s="192">
        <v>10</v>
      </c>
      <c r="K145" s="181">
        <v>2</v>
      </c>
      <c r="L145" s="181">
        <v>2</v>
      </c>
      <c r="M145" s="181">
        <v>2</v>
      </c>
      <c r="N145" s="181">
        <v>4</v>
      </c>
      <c r="O145" s="188"/>
      <c r="P145" s="192">
        <v>10</v>
      </c>
      <c r="Q145" s="181">
        <v>2</v>
      </c>
      <c r="R145" s="181">
        <v>2</v>
      </c>
      <c r="S145" s="181">
        <v>2</v>
      </c>
      <c r="T145" s="181">
        <v>4</v>
      </c>
      <c r="U145" s="188"/>
      <c r="V145" s="192">
        <v>10</v>
      </c>
      <c r="W145" s="181">
        <v>2</v>
      </c>
      <c r="X145" s="181">
        <v>2</v>
      </c>
      <c r="Y145" s="181">
        <v>2</v>
      </c>
      <c r="Z145" s="181">
        <v>4</v>
      </c>
      <c r="AA145" s="188"/>
      <c r="AB145" s="192">
        <v>10</v>
      </c>
      <c r="AC145" s="181">
        <v>2</v>
      </c>
      <c r="AD145" s="181">
        <v>2</v>
      </c>
      <c r="AE145" s="181">
        <v>2</v>
      </c>
      <c r="AF145" s="181">
        <v>4</v>
      </c>
      <c r="AG145" s="188"/>
      <c r="AH145" s="192">
        <v>10</v>
      </c>
    </row>
    <row r="146" spans="1:34" x14ac:dyDescent="0.2">
      <c r="A146" s="469"/>
      <c r="B146" s="465" t="s">
        <v>140</v>
      </c>
      <c r="C146" s="476" t="s">
        <v>26</v>
      </c>
      <c r="D146" s="272" t="s">
        <v>78</v>
      </c>
      <c r="E146" s="451">
        <v>0.5</v>
      </c>
      <c r="F146" s="451">
        <v>0.5</v>
      </c>
      <c r="G146" s="451">
        <v>0.5</v>
      </c>
      <c r="H146" s="451">
        <v>0.5</v>
      </c>
      <c r="I146" s="188"/>
      <c r="J146" s="451">
        <v>0.5</v>
      </c>
      <c r="K146" s="451">
        <v>0.5</v>
      </c>
      <c r="L146" s="451">
        <v>0.5</v>
      </c>
      <c r="M146" s="451">
        <v>0.5</v>
      </c>
      <c r="N146" s="451">
        <v>0.5</v>
      </c>
      <c r="O146" s="188"/>
      <c r="P146" s="451">
        <v>0.5</v>
      </c>
      <c r="Q146" s="451">
        <v>0.5</v>
      </c>
      <c r="R146" s="451">
        <v>0.5</v>
      </c>
      <c r="S146" s="451">
        <v>0.5</v>
      </c>
      <c r="T146" s="451">
        <v>0.5</v>
      </c>
      <c r="U146" s="188"/>
      <c r="V146" s="451">
        <v>0.5</v>
      </c>
      <c r="W146" s="451">
        <v>0.5</v>
      </c>
      <c r="X146" s="451">
        <v>0.5</v>
      </c>
      <c r="Y146" s="451">
        <v>0.5</v>
      </c>
      <c r="Z146" s="451">
        <v>0.5</v>
      </c>
      <c r="AA146" s="188"/>
      <c r="AB146" s="451">
        <v>0.5</v>
      </c>
      <c r="AC146" s="451">
        <v>0.5</v>
      </c>
      <c r="AD146" s="451">
        <v>0.5</v>
      </c>
      <c r="AE146" s="451">
        <v>0.5</v>
      </c>
      <c r="AF146" s="451">
        <v>0.5</v>
      </c>
      <c r="AG146" s="188"/>
      <c r="AH146" s="451">
        <v>0.5</v>
      </c>
    </row>
    <row r="147" spans="1:34" x14ac:dyDescent="0.2">
      <c r="A147" s="469"/>
      <c r="B147" s="465"/>
      <c r="C147" s="476"/>
      <c r="D147" s="251"/>
      <c r="E147" s="451"/>
      <c r="F147" s="451"/>
      <c r="G147" s="451"/>
      <c r="H147" s="451"/>
      <c r="I147" s="188"/>
      <c r="J147" s="451"/>
      <c r="K147" s="451"/>
      <c r="L147" s="451"/>
      <c r="M147" s="451"/>
      <c r="N147" s="451"/>
      <c r="O147" s="188"/>
      <c r="P147" s="451"/>
      <c r="Q147" s="451"/>
      <c r="R147" s="451"/>
      <c r="S147" s="451"/>
      <c r="T147" s="451"/>
      <c r="U147" s="188"/>
      <c r="V147" s="451"/>
      <c r="W147" s="451"/>
      <c r="X147" s="451"/>
      <c r="Y147" s="451"/>
      <c r="Z147" s="451"/>
      <c r="AA147" s="188"/>
      <c r="AB147" s="451"/>
      <c r="AC147" s="451"/>
      <c r="AD147" s="451"/>
      <c r="AE147" s="451"/>
      <c r="AF147" s="451"/>
      <c r="AG147" s="188"/>
      <c r="AH147" s="451"/>
    </row>
    <row r="148" spans="1:34" x14ac:dyDescent="0.2">
      <c r="A148" s="469"/>
      <c r="B148" s="465"/>
      <c r="C148" s="475" t="s">
        <v>7</v>
      </c>
      <c r="D148" s="272" t="s">
        <v>78</v>
      </c>
      <c r="E148" s="451">
        <v>1</v>
      </c>
      <c r="F148" s="451">
        <v>1</v>
      </c>
      <c r="G148" s="451">
        <v>1</v>
      </c>
      <c r="H148" s="451">
        <v>1</v>
      </c>
      <c r="I148" s="188"/>
      <c r="J148" s="451">
        <v>1</v>
      </c>
      <c r="K148" s="451">
        <v>1</v>
      </c>
      <c r="L148" s="451">
        <v>1</v>
      </c>
      <c r="M148" s="451">
        <v>1</v>
      </c>
      <c r="N148" s="451">
        <v>1</v>
      </c>
      <c r="O148" s="188"/>
      <c r="P148" s="451">
        <v>1</v>
      </c>
      <c r="Q148" s="451">
        <v>1</v>
      </c>
      <c r="R148" s="451">
        <v>1</v>
      </c>
      <c r="S148" s="451">
        <v>1</v>
      </c>
      <c r="T148" s="451">
        <v>1</v>
      </c>
      <c r="U148" s="188"/>
      <c r="V148" s="451">
        <v>1</v>
      </c>
      <c r="W148" s="451">
        <v>1</v>
      </c>
      <c r="X148" s="451">
        <v>1</v>
      </c>
      <c r="Y148" s="451">
        <v>1</v>
      </c>
      <c r="Z148" s="451">
        <v>1</v>
      </c>
      <c r="AA148" s="188"/>
      <c r="AB148" s="451">
        <v>1</v>
      </c>
      <c r="AC148" s="451">
        <v>1</v>
      </c>
      <c r="AD148" s="451">
        <v>1</v>
      </c>
      <c r="AE148" s="451">
        <v>1</v>
      </c>
      <c r="AF148" s="451">
        <v>1</v>
      </c>
      <c r="AG148" s="188"/>
      <c r="AH148" s="451">
        <v>1</v>
      </c>
    </row>
    <row r="149" spans="1:34" x14ac:dyDescent="0.2">
      <c r="A149" s="469"/>
      <c r="B149" s="465"/>
      <c r="C149" s="475"/>
      <c r="D149" s="251"/>
      <c r="E149" s="451"/>
      <c r="F149" s="451"/>
      <c r="G149" s="451"/>
      <c r="H149" s="451"/>
      <c r="I149" s="188"/>
      <c r="J149" s="451"/>
      <c r="K149" s="451"/>
      <c r="L149" s="451"/>
      <c r="M149" s="451"/>
      <c r="N149" s="451"/>
      <c r="O149" s="188"/>
      <c r="P149" s="451"/>
      <c r="Q149" s="451"/>
      <c r="R149" s="451"/>
      <c r="S149" s="451"/>
      <c r="T149" s="451"/>
      <c r="U149" s="188"/>
      <c r="V149" s="451"/>
      <c r="W149" s="451"/>
      <c r="X149" s="451"/>
      <c r="Y149" s="451"/>
      <c r="Z149" s="451"/>
      <c r="AA149" s="188"/>
      <c r="AB149" s="451"/>
      <c r="AC149" s="451"/>
      <c r="AD149" s="451"/>
      <c r="AE149" s="451"/>
      <c r="AF149" s="451"/>
      <c r="AG149" s="188"/>
      <c r="AH149" s="451"/>
    </row>
    <row r="150" spans="1:34" x14ac:dyDescent="0.2">
      <c r="A150" s="469"/>
      <c r="B150" s="465"/>
      <c r="C150" s="476" t="s">
        <v>8</v>
      </c>
      <c r="D150" s="272" t="s">
        <v>78</v>
      </c>
      <c r="E150" s="451">
        <v>0.5</v>
      </c>
      <c r="F150" s="451">
        <v>0.5</v>
      </c>
      <c r="G150" s="451">
        <v>0.5</v>
      </c>
      <c r="H150" s="451">
        <v>0.5</v>
      </c>
      <c r="I150" s="188"/>
      <c r="J150" s="451">
        <v>0.5</v>
      </c>
      <c r="K150" s="451">
        <v>0.5</v>
      </c>
      <c r="L150" s="451">
        <v>0.5</v>
      </c>
      <c r="M150" s="451">
        <v>0.5</v>
      </c>
      <c r="N150" s="451">
        <v>0.5</v>
      </c>
      <c r="O150" s="188"/>
      <c r="P150" s="451">
        <v>0.5</v>
      </c>
      <c r="Q150" s="451">
        <v>0.5</v>
      </c>
      <c r="R150" s="451">
        <v>0.5</v>
      </c>
      <c r="S150" s="451">
        <v>0.5</v>
      </c>
      <c r="T150" s="451">
        <v>0.5</v>
      </c>
      <c r="U150" s="188"/>
      <c r="V150" s="451">
        <v>0.5</v>
      </c>
      <c r="W150" s="451">
        <v>0.5</v>
      </c>
      <c r="X150" s="451">
        <v>0.5</v>
      </c>
      <c r="Y150" s="451">
        <v>0.5</v>
      </c>
      <c r="Z150" s="451">
        <v>0.5</v>
      </c>
      <c r="AA150" s="188"/>
      <c r="AB150" s="451">
        <v>0.5</v>
      </c>
      <c r="AC150" s="451">
        <v>0.5</v>
      </c>
      <c r="AD150" s="451">
        <v>0.5</v>
      </c>
      <c r="AE150" s="451">
        <v>0.5</v>
      </c>
      <c r="AF150" s="451">
        <v>0.5</v>
      </c>
      <c r="AG150" s="188"/>
      <c r="AH150" s="451">
        <v>0.5</v>
      </c>
    </row>
    <row r="151" spans="1:34" x14ac:dyDescent="0.2">
      <c r="A151" s="469"/>
      <c r="B151" s="465"/>
      <c r="C151" s="476"/>
      <c r="D151" s="251"/>
      <c r="E151" s="451"/>
      <c r="F151" s="451"/>
      <c r="G151" s="451"/>
      <c r="H151" s="451"/>
      <c r="I151" s="188"/>
      <c r="J151" s="451"/>
      <c r="K151" s="451"/>
      <c r="L151" s="451"/>
      <c r="M151" s="451"/>
      <c r="N151" s="451"/>
      <c r="O151" s="188"/>
      <c r="P151" s="451"/>
      <c r="Q151" s="451"/>
      <c r="R151" s="451"/>
      <c r="S151" s="451"/>
      <c r="T151" s="451"/>
      <c r="U151" s="188"/>
      <c r="V151" s="451"/>
      <c r="W151" s="451"/>
      <c r="X151" s="451"/>
      <c r="Y151" s="451"/>
      <c r="Z151" s="451"/>
      <c r="AA151" s="188"/>
      <c r="AB151" s="451"/>
      <c r="AC151" s="451"/>
      <c r="AD151" s="451"/>
      <c r="AE151" s="451"/>
      <c r="AF151" s="451"/>
      <c r="AG151" s="188"/>
      <c r="AH151" s="451"/>
    </row>
    <row r="152" spans="1:34" x14ac:dyDescent="0.2">
      <c r="A152" s="176">
        <v>1.6</v>
      </c>
      <c r="B152" s="500" t="s">
        <v>27</v>
      </c>
      <c r="C152" s="501"/>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x14ac:dyDescent="0.2">
      <c r="A153" s="476"/>
      <c r="B153" s="468" t="s">
        <v>126</v>
      </c>
      <c r="C153" s="476" t="s">
        <v>26</v>
      </c>
      <c r="D153" s="272" t="s">
        <v>78</v>
      </c>
      <c r="E153" s="454">
        <v>5.0000000000000001E-4</v>
      </c>
      <c r="F153" s="454">
        <v>5.0000000000000001E-4</v>
      </c>
      <c r="G153" s="454">
        <v>5.0000000000000001E-4</v>
      </c>
      <c r="H153" s="454">
        <v>5.0000000000000001E-4</v>
      </c>
      <c r="I153" s="185"/>
      <c r="J153" s="454">
        <v>5.0000000000000001E-4</v>
      </c>
      <c r="K153" s="454">
        <v>5.0000000000000001E-4</v>
      </c>
      <c r="L153" s="454">
        <v>5.0000000000000001E-4</v>
      </c>
      <c r="M153" s="454">
        <v>5.0000000000000001E-4</v>
      </c>
      <c r="N153" s="454">
        <v>5.0000000000000001E-4</v>
      </c>
      <c r="O153" s="188"/>
      <c r="P153" s="454">
        <v>5.0000000000000001E-4</v>
      </c>
      <c r="Q153" s="454">
        <v>5.0000000000000001E-4</v>
      </c>
      <c r="R153" s="454">
        <v>5.0000000000000001E-4</v>
      </c>
      <c r="S153" s="454">
        <v>5.0000000000000001E-4</v>
      </c>
      <c r="T153" s="454">
        <v>5.0000000000000001E-4</v>
      </c>
      <c r="U153" s="188"/>
      <c r="V153" s="454">
        <v>5.0000000000000001E-4</v>
      </c>
      <c r="W153" s="454">
        <v>5.0000000000000001E-4</v>
      </c>
      <c r="X153" s="454">
        <v>5.0000000000000001E-4</v>
      </c>
      <c r="Y153" s="454">
        <v>5.0000000000000001E-4</v>
      </c>
      <c r="Z153" s="454">
        <v>5.0000000000000001E-4</v>
      </c>
      <c r="AA153" s="188"/>
      <c r="AB153" s="454">
        <v>5.0000000000000001E-4</v>
      </c>
      <c r="AC153" s="454">
        <v>5.0000000000000001E-4</v>
      </c>
      <c r="AD153" s="454">
        <v>5.0000000000000001E-4</v>
      </c>
      <c r="AE153" s="454">
        <v>5.0000000000000001E-4</v>
      </c>
      <c r="AF153" s="454">
        <v>5.0000000000000001E-4</v>
      </c>
      <c r="AG153" s="188"/>
      <c r="AH153" s="454">
        <v>5.0000000000000001E-4</v>
      </c>
    </row>
    <row r="154" spans="1:34" x14ac:dyDescent="0.2">
      <c r="A154" s="476"/>
      <c r="B154" s="468"/>
      <c r="C154" s="476"/>
      <c r="D154" s="251"/>
      <c r="E154" s="454"/>
      <c r="F154" s="454"/>
      <c r="G154" s="454"/>
      <c r="H154" s="454"/>
      <c r="I154" s="188"/>
      <c r="J154" s="454"/>
      <c r="K154" s="454"/>
      <c r="L154" s="454"/>
      <c r="M154" s="454"/>
      <c r="N154" s="454"/>
      <c r="O154" s="188"/>
      <c r="P154" s="454"/>
      <c r="Q154" s="454"/>
      <c r="R154" s="454"/>
      <c r="S154" s="454"/>
      <c r="T154" s="454"/>
      <c r="U154" s="188"/>
      <c r="V154" s="454"/>
      <c r="W154" s="454"/>
      <c r="X154" s="454"/>
      <c r="Y154" s="454"/>
      <c r="Z154" s="454"/>
      <c r="AA154" s="188"/>
      <c r="AB154" s="454"/>
      <c r="AC154" s="454"/>
      <c r="AD154" s="454"/>
      <c r="AE154" s="454"/>
      <c r="AF154" s="454"/>
      <c r="AG154" s="188"/>
      <c r="AH154" s="454"/>
    </row>
    <row r="155" spans="1:34" x14ac:dyDescent="0.2">
      <c r="A155" s="476"/>
      <c r="B155" s="468"/>
      <c r="C155" s="476" t="s">
        <v>7</v>
      </c>
      <c r="D155" s="272" t="s">
        <v>78</v>
      </c>
      <c r="E155" s="451">
        <v>0.01</v>
      </c>
      <c r="F155" s="451">
        <v>0.01</v>
      </c>
      <c r="G155" s="451">
        <v>0.01</v>
      </c>
      <c r="H155" s="451">
        <v>0.01</v>
      </c>
      <c r="I155" s="188"/>
      <c r="J155" s="451">
        <v>0.01</v>
      </c>
      <c r="K155" s="451">
        <v>0.01</v>
      </c>
      <c r="L155" s="451">
        <v>0.01</v>
      </c>
      <c r="M155" s="451">
        <v>0.01</v>
      </c>
      <c r="N155" s="451">
        <v>0.01</v>
      </c>
      <c r="O155" s="188"/>
      <c r="P155" s="451">
        <v>0.01</v>
      </c>
      <c r="Q155" s="451">
        <v>0.01</v>
      </c>
      <c r="R155" s="451">
        <v>0.01</v>
      </c>
      <c r="S155" s="451">
        <v>0.01</v>
      </c>
      <c r="T155" s="451">
        <v>0.01</v>
      </c>
      <c r="U155" s="188"/>
      <c r="V155" s="451">
        <v>0.01</v>
      </c>
      <c r="W155" s="451">
        <v>0.01</v>
      </c>
      <c r="X155" s="451">
        <v>0.01</v>
      </c>
      <c r="Y155" s="451">
        <v>0.01</v>
      </c>
      <c r="Z155" s="451">
        <v>0.01</v>
      </c>
      <c r="AA155" s="188"/>
      <c r="AB155" s="451">
        <v>0.01</v>
      </c>
      <c r="AC155" s="451">
        <v>0.01</v>
      </c>
      <c r="AD155" s="451">
        <v>0.01</v>
      </c>
      <c r="AE155" s="451">
        <v>0.01</v>
      </c>
      <c r="AF155" s="451">
        <v>0.01</v>
      </c>
      <c r="AG155" s="188"/>
      <c r="AH155" s="451">
        <v>0.01</v>
      </c>
    </row>
    <row r="156" spans="1:34" x14ac:dyDescent="0.2">
      <c r="A156" s="476"/>
      <c r="B156" s="468"/>
      <c r="C156" s="476"/>
      <c r="D156" s="251"/>
      <c r="E156" s="451"/>
      <c r="F156" s="451"/>
      <c r="G156" s="451"/>
      <c r="H156" s="451"/>
      <c r="I156" s="188"/>
      <c r="J156" s="451"/>
      <c r="K156" s="451"/>
      <c r="L156" s="451"/>
      <c r="M156" s="451"/>
      <c r="N156" s="451"/>
      <c r="O156" s="188"/>
      <c r="P156" s="451"/>
      <c r="Q156" s="451"/>
      <c r="R156" s="451"/>
      <c r="S156" s="451"/>
      <c r="T156" s="451"/>
      <c r="U156" s="188"/>
      <c r="V156" s="451"/>
      <c r="W156" s="451"/>
      <c r="X156" s="451"/>
      <c r="Y156" s="451"/>
      <c r="Z156" s="451"/>
      <c r="AA156" s="188"/>
      <c r="AB156" s="451"/>
      <c r="AC156" s="451"/>
      <c r="AD156" s="451"/>
      <c r="AE156" s="451"/>
      <c r="AF156" s="451"/>
      <c r="AG156" s="188"/>
      <c r="AH156" s="451"/>
    </row>
    <row r="157" spans="1:34" x14ac:dyDescent="0.2">
      <c r="A157" s="476"/>
      <c r="B157" s="468"/>
      <c r="C157" s="476" t="s">
        <v>8</v>
      </c>
      <c r="D157" s="272" t="s">
        <v>78</v>
      </c>
      <c r="E157" s="451">
        <v>0.01</v>
      </c>
      <c r="F157" s="451">
        <v>0.01</v>
      </c>
      <c r="G157" s="451">
        <v>0.01</v>
      </c>
      <c r="H157" s="451">
        <v>0.01</v>
      </c>
      <c r="I157" s="188"/>
      <c r="J157" s="451">
        <v>0.01</v>
      </c>
      <c r="K157" s="451">
        <v>0.01</v>
      </c>
      <c r="L157" s="451">
        <v>0.01</v>
      </c>
      <c r="M157" s="451">
        <v>0.01</v>
      </c>
      <c r="N157" s="451">
        <v>0.01</v>
      </c>
      <c r="O157" s="188"/>
      <c r="P157" s="451">
        <v>0.01</v>
      </c>
      <c r="Q157" s="451">
        <v>0.01</v>
      </c>
      <c r="R157" s="451">
        <v>0.01</v>
      </c>
      <c r="S157" s="451">
        <v>0.01</v>
      </c>
      <c r="T157" s="451">
        <v>0.01</v>
      </c>
      <c r="U157" s="188"/>
      <c r="V157" s="451">
        <v>0.01</v>
      </c>
      <c r="W157" s="451">
        <v>0.01</v>
      </c>
      <c r="X157" s="451">
        <v>0.01</v>
      </c>
      <c r="Y157" s="451">
        <v>0.01</v>
      </c>
      <c r="Z157" s="451">
        <v>0.01</v>
      </c>
      <c r="AA157" s="188"/>
      <c r="AB157" s="451">
        <v>0.01</v>
      </c>
      <c r="AC157" s="451">
        <v>0.01</v>
      </c>
      <c r="AD157" s="451">
        <v>0.01</v>
      </c>
      <c r="AE157" s="451">
        <v>0.01</v>
      </c>
      <c r="AF157" s="451">
        <v>0.01</v>
      </c>
      <c r="AG157" s="188"/>
      <c r="AH157" s="451">
        <v>0.01</v>
      </c>
    </row>
    <row r="158" spans="1:34" x14ac:dyDescent="0.2">
      <c r="A158" s="476"/>
      <c r="B158" s="468"/>
      <c r="C158" s="476"/>
      <c r="D158" s="251"/>
      <c r="E158" s="451"/>
      <c r="F158" s="451"/>
      <c r="G158" s="451"/>
      <c r="H158" s="451"/>
      <c r="I158" s="188"/>
      <c r="J158" s="451"/>
      <c r="K158" s="451"/>
      <c r="L158" s="451"/>
      <c r="M158" s="451"/>
      <c r="N158" s="451"/>
      <c r="O158" s="188"/>
      <c r="P158" s="451"/>
      <c r="Q158" s="451"/>
      <c r="R158" s="451"/>
      <c r="S158" s="451"/>
      <c r="T158" s="451"/>
      <c r="U158" s="188"/>
      <c r="V158" s="451"/>
      <c r="W158" s="451"/>
      <c r="X158" s="451"/>
      <c r="Y158" s="451"/>
      <c r="Z158" s="451"/>
      <c r="AA158" s="188"/>
      <c r="AB158" s="451"/>
      <c r="AC158" s="451"/>
      <c r="AD158" s="451"/>
      <c r="AE158" s="451"/>
      <c r="AF158" s="451"/>
      <c r="AG158" s="188"/>
      <c r="AH158" s="451"/>
    </row>
    <row r="159" spans="1:34" x14ac:dyDescent="0.2">
      <c r="A159" s="476"/>
      <c r="B159" s="468" t="s">
        <v>127</v>
      </c>
      <c r="C159" s="476" t="s">
        <v>26</v>
      </c>
      <c r="D159" s="272" t="s">
        <v>78</v>
      </c>
      <c r="E159" s="454">
        <v>5.0000000000000001E-4</v>
      </c>
      <c r="F159" s="454">
        <v>5.0000000000000001E-4</v>
      </c>
      <c r="G159" s="454">
        <v>5.0000000000000001E-4</v>
      </c>
      <c r="H159" s="454">
        <v>5.0000000000000001E-4</v>
      </c>
      <c r="I159" s="188"/>
      <c r="J159" s="454">
        <v>5.0000000000000001E-4</v>
      </c>
      <c r="K159" s="454">
        <v>5.0000000000000001E-4</v>
      </c>
      <c r="L159" s="454">
        <v>5.0000000000000001E-4</v>
      </c>
      <c r="M159" s="454">
        <v>5.0000000000000001E-4</v>
      </c>
      <c r="N159" s="454">
        <v>5.0000000000000001E-4</v>
      </c>
      <c r="O159" s="188"/>
      <c r="P159" s="454">
        <v>5.0000000000000001E-4</v>
      </c>
      <c r="Q159" s="454">
        <v>5.0000000000000001E-4</v>
      </c>
      <c r="R159" s="454">
        <v>5.0000000000000001E-4</v>
      </c>
      <c r="S159" s="454">
        <v>5.0000000000000001E-4</v>
      </c>
      <c r="T159" s="454">
        <v>5.0000000000000001E-4</v>
      </c>
      <c r="U159" s="188"/>
      <c r="V159" s="454">
        <v>5.0000000000000001E-4</v>
      </c>
      <c r="W159" s="454">
        <v>5.0000000000000001E-4</v>
      </c>
      <c r="X159" s="454">
        <v>5.0000000000000001E-4</v>
      </c>
      <c r="Y159" s="454">
        <v>5.0000000000000001E-4</v>
      </c>
      <c r="Z159" s="454">
        <v>5.0000000000000001E-4</v>
      </c>
      <c r="AA159" s="188"/>
      <c r="AB159" s="454">
        <v>5.0000000000000001E-4</v>
      </c>
      <c r="AC159" s="454">
        <v>5.0000000000000001E-4</v>
      </c>
      <c r="AD159" s="454">
        <v>5.0000000000000001E-4</v>
      </c>
      <c r="AE159" s="454">
        <v>5.0000000000000001E-4</v>
      </c>
      <c r="AF159" s="454">
        <v>5.0000000000000001E-4</v>
      </c>
      <c r="AG159" s="188"/>
      <c r="AH159" s="454">
        <v>5.0000000000000001E-4</v>
      </c>
    </row>
    <row r="160" spans="1:34" x14ac:dyDescent="0.2">
      <c r="A160" s="476"/>
      <c r="B160" s="468"/>
      <c r="C160" s="476"/>
      <c r="D160" s="251"/>
      <c r="E160" s="454"/>
      <c r="F160" s="454"/>
      <c r="G160" s="454"/>
      <c r="H160" s="454"/>
      <c r="I160" s="188"/>
      <c r="J160" s="454"/>
      <c r="K160" s="454"/>
      <c r="L160" s="454"/>
      <c r="M160" s="454"/>
      <c r="N160" s="454"/>
      <c r="O160" s="188"/>
      <c r="P160" s="454"/>
      <c r="Q160" s="454"/>
      <c r="R160" s="454"/>
      <c r="S160" s="454"/>
      <c r="T160" s="454"/>
      <c r="U160" s="188"/>
      <c r="V160" s="454"/>
      <c r="W160" s="454"/>
      <c r="X160" s="454"/>
      <c r="Y160" s="454"/>
      <c r="Z160" s="454"/>
      <c r="AA160" s="188"/>
      <c r="AB160" s="454"/>
      <c r="AC160" s="454"/>
      <c r="AD160" s="454"/>
      <c r="AE160" s="454"/>
      <c r="AF160" s="454"/>
      <c r="AG160" s="188"/>
      <c r="AH160" s="454"/>
    </row>
    <row r="161" spans="1:34" x14ac:dyDescent="0.2">
      <c r="A161" s="476"/>
      <c r="B161" s="468"/>
      <c r="C161" s="476" t="s">
        <v>7</v>
      </c>
      <c r="D161" s="272" t="s">
        <v>78</v>
      </c>
      <c r="E161" s="451">
        <v>0.01</v>
      </c>
      <c r="F161" s="451">
        <v>0.01</v>
      </c>
      <c r="G161" s="451">
        <v>0.01</v>
      </c>
      <c r="H161" s="451">
        <v>0.01</v>
      </c>
      <c r="I161" s="188"/>
      <c r="J161" s="451">
        <v>0.01</v>
      </c>
      <c r="K161" s="451">
        <v>0.01</v>
      </c>
      <c r="L161" s="451">
        <v>0.01</v>
      </c>
      <c r="M161" s="451">
        <v>0.01</v>
      </c>
      <c r="N161" s="451">
        <v>0.01</v>
      </c>
      <c r="O161" s="188"/>
      <c r="P161" s="451">
        <v>0.01</v>
      </c>
      <c r="Q161" s="451">
        <v>0.01</v>
      </c>
      <c r="R161" s="451">
        <v>0.01</v>
      </c>
      <c r="S161" s="451">
        <v>0.01</v>
      </c>
      <c r="T161" s="451">
        <v>0.01</v>
      </c>
      <c r="U161" s="188"/>
      <c r="V161" s="451">
        <v>0.01</v>
      </c>
      <c r="W161" s="451">
        <v>0.01</v>
      </c>
      <c r="X161" s="451">
        <v>0.01</v>
      </c>
      <c r="Y161" s="451">
        <v>0.01</v>
      </c>
      <c r="Z161" s="451">
        <v>0.01</v>
      </c>
      <c r="AA161" s="188"/>
      <c r="AB161" s="451">
        <v>0.01</v>
      </c>
      <c r="AC161" s="451">
        <v>0.01</v>
      </c>
      <c r="AD161" s="451">
        <v>0.01</v>
      </c>
      <c r="AE161" s="451">
        <v>0.01</v>
      </c>
      <c r="AF161" s="451">
        <v>0.01</v>
      </c>
      <c r="AG161" s="188"/>
      <c r="AH161" s="451">
        <v>0.01</v>
      </c>
    </row>
    <row r="162" spans="1:34" x14ac:dyDescent="0.2">
      <c r="A162" s="476"/>
      <c r="B162" s="468"/>
      <c r="C162" s="476"/>
      <c r="D162" s="251"/>
      <c r="E162" s="451"/>
      <c r="F162" s="451"/>
      <c r="G162" s="451"/>
      <c r="H162" s="451"/>
      <c r="I162" s="188"/>
      <c r="J162" s="451"/>
      <c r="K162" s="451"/>
      <c r="L162" s="451"/>
      <c r="M162" s="451"/>
      <c r="N162" s="451"/>
      <c r="O162" s="188"/>
      <c r="P162" s="451"/>
      <c r="Q162" s="451"/>
      <c r="R162" s="451"/>
      <c r="S162" s="451"/>
      <c r="T162" s="451"/>
      <c r="U162" s="188"/>
      <c r="V162" s="451"/>
      <c r="W162" s="451"/>
      <c r="X162" s="451"/>
      <c r="Y162" s="451"/>
      <c r="Z162" s="451"/>
      <c r="AA162" s="188"/>
      <c r="AB162" s="451"/>
      <c r="AC162" s="451"/>
      <c r="AD162" s="451"/>
      <c r="AE162" s="451"/>
      <c r="AF162" s="451"/>
      <c r="AG162" s="188"/>
      <c r="AH162" s="451"/>
    </row>
    <row r="163" spans="1:34" x14ac:dyDescent="0.2">
      <c r="A163" s="476"/>
      <c r="B163" s="468"/>
      <c r="C163" s="476" t="s">
        <v>8</v>
      </c>
      <c r="D163" s="272" t="s">
        <v>78</v>
      </c>
      <c r="E163" s="451">
        <v>0.01</v>
      </c>
      <c r="F163" s="451">
        <v>0.01</v>
      </c>
      <c r="G163" s="451">
        <v>0.01</v>
      </c>
      <c r="H163" s="451">
        <v>0.01</v>
      </c>
      <c r="I163" s="188"/>
      <c r="J163" s="451">
        <v>0.01</v>
      </c>
      <c r="K163" s="451">
        <v>0.01</v>
      </c>
      <c r="L163" s="451">
        <v>0.01</v>
      </c>
      <c r="M163" s="451">
        <v>0.01</v>
      </c>
      <c r="N163" s="451">
        <v>0.01</v>
      </c>
      <c r="O163" s="188"/>
      <c r="P163" s="451">
        <v>0.01</v>
      </c>
      <c r="Q163" s="451">
        <v>0.01</v>
      </c>
      <c r="R163" s="451">
        <v>0.01</v>
      </c>
      <c r="S163" s="451">
        <v>0.01</v>
      </c>
      <c r="T163" s="451">
        <v>0.01</v>
      </c>
      <c r="U163" s="188"/>
      <c r="V163" s="451">
        <v>0.01</v>
      </c>
      <c r="W163" s="451">
        <v>0.01</v>
      </c>
      <c r="X163" s="451">
        <v>0.01</v>
      </c>
      <c r="Y163" s="451">
        <v>0.01</v>
      </c>
      <c r="Z163" s="451">
        <v>0.01</v>
      </c>
      <c r="AA163" s="188"/>
      <c r="AB163" s="451">
        <v>0.01</v>
      </c>
      <c r="AC163" s="451">
        <v>0.01</v>
      </c>
      <c r="AD163" s="451">
        <v>0.01</v>
      </c>
      <c r="AE163" s="451">
        <v>0.01</v>
      </c>
      <c r="AF163" s="451">
        <v>0.01</v>
      </c>
      <c r="AG163" s="188"/>
      <c r="AH163" s="451">
        <v>0.01</v>
      </c>
    </row>
    <row r="164" spans="1:34" x14ac:dyDescent="0.2">
      <c r="A164" s="476"/>
      <c r="B164" s="468"/>
      <c r="C164" s="476"/>
      <c r="D164" s="251"/>
      <c r="E164" s="451"/>
      <c r="F164" s="451"/>
      <c r="G164" s="451"/>
      <c r="H164" s="451"/>
      <c r="I164" s="188"/>
      <c r="J164" s="451"/>
      <c r="K164" s="451"/>
      <c r="L164" s="451"/>
      <c r="M164" s="451"/>
      <c r="N164" s="451"/>
      <c r="O164" s="188"/>
      <c r="P164" s="451"/>
      <c r="Q164" s="451"/>
      <c r="R164" s="451"/>
      <c r="S164" s="451"/>
      <c r="T164" s="451"/>
      <c r="U164" s="188"/>
      <c r="V164" s="451"/>
      <c r="W164" s="451"/>
      <c r="X164" s="451"/>
      <c r="Y164" s="451"/>
      <c r="Z164" s="451"/>
      <c r="AA164" s="188"/>
      <c r="AB164" s="451"/>
      <c r="AC164" s="451"/>
      <c r="AD164" s="451"/>
      <c r="AE164" s="451"/>
      <c r="AF164" s="451"/>
      <c r="AG164" s="188"/>
      <c r="AH164" s="451"/>
    </row>
    <row r="165" spans="1:34" x14ac:dyDescent="0.2">
      <c r="A165" s="476"/>
      <c r="B165" s="465" t="s">
        <v>128</v>
      </c>
      <c r="C165" s="475" t="s">
        <v>6</v>
      </c>
      <c r="D165" s="272" t="s">
        <v>78</v>
      </c>
      <c r="E165" s="451">
        <v>0</v>
      </c>
      <c r="F165" s="451">
        <v>0</v>
      </c>
      <c r="G165" s="451">
        <v>0</v>
      </c>
      <c r="H165" s="451">
        <v>0</v>
      </c>
      <c r="I165" s="188"/>
      <c r="J165" s="451">
        <v>0</v>
      </c>
      <c r="K165" s="451">
        <v>0</v>
      </c>
      <c r="L165" s="451">
        <v>0</v>
      </c>
      <c r="M165" s="451">
        <v>0</v>
      </c>
      <c r="N165" s="451">
        <v>0</v>
      </c>
      <c r="O165" s="188"/>
      <c r="P165" s="451">
        <v>0</v>
      </c>
      <c r="Q165" s="451">
        <v>0</v>
      </c>
      <c r="R165" s="451">
        <v>0</v>
      </c>
      <c r="S165" s="451">
        <v>0</v>
      </c>
      <c r="T165" s="451">
        <v>0</v>
      </c>
      <c r="U165" s="188"/>
      <c r="V165" s="451">
        <v>0</v>
      </c>
      <c r="W165" s="451">
        <v>0</v>
      </c>
      <c r="X165" s="451">
        <v>0</v>
      </c>
      <c r="Y165" s="451">
        <v>0</v>
      </c>
      <c r="Z165" s="451">
        <v>0</v>
      </c>
      <c r="AA165" s="188"/>
      <c r="AB165" s="451">
        <v>0</v>
      </c>
      <c r="AC165" s="451">
        <v>0</v>
      </c>
      <c r="AD165" s="451">
        <v>0</v>
      </c>
      <c r="AE165" s="451">
        <v>0</v>
      </c>
      <c r="AF165" s="451">
        <v>0</v>
      </c>
      <c r="AG165" s="188"/>
      <c r="AH165" s="451">
        <v>0</v>
      </c>
    </row>
    <row r="166" spans="1:34" x14ac:dyDescent="0.2">
      <c r="A166" s="476"/>
      <c r="B166" s="465"/>
      <c r="C166" s="475"/>
      <c r="D166" s="251"/>
      <c r="E166" s="451"/>
      <c r="F166" s="451"/>
      <c r="G166" s="451"/>
      <c r="H166" s="451"/>
      <c r="I166" s="188"/>
      <c r="J166" s="451"/>
      <c r="K166" s="451"/>
      <c r="L166" s="451"/>
      <c r="M166" s="451"/>
      <c r="N166" s="451"/>
      <c r="O166" s="188"/>
      <c r="P166" s="451"/>
      <c r="Q166" s="451"/>
      <c r="R166" s="451"/>
      <c r="S166" s="451"/>
      <c r="T166" s="451"/>
      <c r="U166" s="188"/>
      <c r="V166" s="451"/>
      <c r="W166" s="451"/>
      <c r="X166" s="451"/>
      <c r="Y166" s="451"/>
      <c r="Z166" s="451"/>
      <c r="AA166" s="188"/>
      <c r="AB166" s="451"/>
      <c r="AC166" s="451"/>
      <c r="AD166" s="451"/>
      <c r="AE166" s="451"/>
      <c r="AF166" s="451"/>
      <c r="AG166" s="188"/>
      <c r="AH166" s="451"/>
    </row>
    <row r="167" spans="1:34" x14ac:dyDescent="0.2">
      <c r="A167" s="476"/>
      <c r="B167" s="465"/>
      <c r="C167" s="475" t="s">
        <v>7</v>
      </c>
      <c r="D167" s="272" t="s">
        <v>78</v>
      </c>
      <c r="E167" s="451">
        <v>0</v>
      </c>
      <c r="F167" s="451">
        <v>0</v>
      </c>
      <c r="G167" s="451">
        <v>0</v>
      </c>
      <c r="H167" s="451">
        <v>0</v>
      </c>
      <c r="I167" s="188"/>
      <c r="J167" s="451">
        <v>0</v>
      </c>
      <c r="K167" s="451">
        <v>0</v>
      </c>
      <c r="L167" s="451">
        <v>0</v>
      </c>
      <c r="M167" s="451">
        <v>0</v>
      </c>
      <c r="N167" s="451">
        <v>0</v>
      </c>
      <c r="O167" s="188"/>
      <c r="P167" s="451">
        <v>0</v>
      </c>
      <c r="Q167" s="451">
        <v>0</v>
      </c>
      <c r="R167" s="451">
        <v>0</v>
      </c>
      <c r="S167" s="451">
        <v>0</v>
      </c>
      <c r="T167" s="451">
        <v>0</v>
      </c>
      <c r="U167" s="188"/>
      <c r="V167" s="451">
        <v>0</v>
      </c>
      <c r="W167" s="451">
        <v>0</v>
      </c>
      <c r="X167" s="451">
        <v>0</v>
      </c>
      <c r="Y167" s="451">
        <v>0</v>
      </c>
      <c r="Z167" s="451">
        <v>0</v>
      </c>
      <c r="AA167" s="188"/>
      <c r="AB167" s="451">
        <v>0</v>
      </c>
      <c r="AC167" s="451">
        <v>0</v>
      </c>
      <c r="AD167" s="451">
        <v>0</v>
      </c>
      <c r="AE167" s="451">
        <v>0</v>
      </c>
      <c r="AF167" s="451">
        <v>0</v>
      </c>
      <c r="AG167" s="188"/>
      <c r="AH167" s="451">
        <v>0</v>
      </c>
    </row>
    <row r="168" spans="1:34" x14ac:dyDescent="0.2">
      <c r="A168" s="476"/>
      <c r="B168" s="465"/>
      <c r="C168" s="475"/>
      <c r="D168" s="251"/>
      <c r="E168" s="451"/>
      <c r="F168" s="451"/>
      <c r="G168" s="451"/>
      <c r="H168" s="451"/>
      <c r="I168" s="188"/>
      <c r="J168" s="451"/>
      <c r="K168" s="451"/>
      <c r="L168" s="451"/>
      <c r="M168" s="451"/>
      <c r="N168" s="451"/>
      <c r="O168" s="188"/>
      <c r="P168" s="451"/>
      <c r="Q168" s="451"/>
      <c r="R168" s="451"/>
      <c r="S168" s="451"/>
      <c r="T168" s="451"/>
      <c r="U168" s="188"/>
      <c r="V168" s="451"/>
      <c r="W168" s="451"/>
      <c r="X168" s="451"/>
      <c r="Y168" s="451"/>
      <c r="Z168" s="451"/>
      <c r="AA168" s="188"/>
      <c r="AB168" s="451"/>
      <c r="AC168" s="451"/>
      <c r="AD168" s="451"/>
      <c r="AE168" s="451"/>
      <c r="AF168" s="451"/>
      <c r="AG168" s="188"/>
      <c r="AH168" s="451"/>
    </row>
    <row r="169" spans="1:34" x14ac:dyDescent="0.2">
      <c r="A169" s="476"/>
      <c r="B169" s="465"/>
      <c r="C169" s="475" t="s">
        <v>8</v>
      </c>
      <c r="D169" s="272" t="s">
        <v>78</v>
      </c>
      <c r="E169" s="451">
        <v>0</v>
      </c>
      <c r="F169" s="451">
        <v>0</v>
      </c>
      <c r="G169" s="451">
        <v>0</v>
      </c>
      <c r="H169" s="451">
        <v>0</v>
      </c>
      <c r="I169" s="188"/>
      <c r="J169" s="451">
        <v>0</v>
      </c>
      <c r="K169" s="451">
        <v>0</v>
      </c>
      <c r="L169" s="451">
        <v>0</v>
      </c>
      <c r="M169" s="451">
        <v>0</v>
      </c>
      <c r="N169" s="451">
        <v>0</v>
      </c>
      <c r="O169" s="188"/>
      <c r="P169" s="451">
        <v>0</v>
      </c>
      <c r="Q169" s="451">
        <v>0</v>
      </c>
      <c r="R169" s="451">
        <v>0</v>
      </c>
      <c r="S169" s="451">
        <v>0</v>
      </c>
      <c r="T169" s="451">
        <v>0</v>
      </c>
      <c r="U169" s="188"/>
      <c r="V169" s="451">
        <v>0</v>
      </c>
      <c r="W169" s="451">
        <v>0</v>
      </c>
      <c r="X169" s="451">
        <v>0</v>
      </c>
      <c r="Y169" s="451">
        <v>0</v>
      </c>
      <c r="Z169" s="451">
        <v>0</v>
      </c>
      <c r="AA169" s="188"/>
      <c r="AB169" s="451">
        <v>0</v>
      </c>
      <c r="AC169" s="451">
        <v>0</v>
      </c>
      <c r="AD169" s="451">
        <v>0</v>
      </c>
      <c r="AE169" s="451">
        <v>0</v>
      </c>
      <c r="AF169" s="451">
        <v>0</v>
      </c>
      <c r="AG169" s="188"/>
      <c r="AH169" s="451">
        <v>0</v>
      </c>
    </row>
    <row r="170" spans="1:34" x14ac:dyDescent="0.2">
      <c r="A170" s="476"/>
      <c r="B170" s="465"/>
      <c r="C170" s="475"/>
      <c r="D170" s="251"/>
      <c r="E170" s="451"/>
      <c r="F170" s="451"/>
      <c r="G170" s="451"/>
      <c r="H170" s="451"/>
      <c r="I170" s="188"/>
      <c r="J170" s="451"/>
      <c r="K170" s="451"/>
      <c r="L170" s="451"/>
      <c r="M170" s="451"/>
      <c r="N170" s="451"/>
      <c r="O170" s="188"/>
      <c r="P170" s="451"/>
      <c r="Q170" s="451"/>
      <c r="R170" s="451"/>
      <c r="S170" s="451"/>
      <c r="T170" s="451"/>
      <c r="U170" s="188"/>
      <c r="V170" s="451"/>
      <c r="W170" s="451"/>
      <c r="X170" s="451"/>
      <c r="Y170" s="451"/>
      <c r="Z170" s="451"/>
      <c r="AA170" s="188"/>
      <c r="AB170" s="451"/>
      <c r="AC170" s="451"/>
      <c r="AD170" s="451"/>
      <c r="AE170" s="451"/>
      <c r="AF170" s="451"/>
      <c r="AG170" s="188"/>
      <c r="AH170" s="451"/>
    </row>
    <row r="171" spans="1:34" x14ac:dyDescent="0.2">
      <c r="A171" s="449"/>
      <c r="B171" s="465" t="s">
        <v>88</v>
      </c>
      <c r="C171" s="475" t="s">
        <v>6</v>
      </c>
      <c r="D171" s="272" t="s">
        <v>78</v>
      </c>
      <c r="E171" s="451">
        <v>0</v>
      </c>
      <c r="F171" s="451">
        <v>0</v>
      </c>
      <c r="G171" s="451">
        <v>0</v>
      </c>
      <c r="H171" s="451">
        <v>0</v>
      </c>
      <c r="I171" s="188"/>
      <c r="J171" s="451">
        <v>0</v>
      </c>
      <c r="K171" s="451">
        <v>0</v>
      </c>
      <c r="L171" s="451">
        <v>0</v>
      </c>
      <c r="M171" s="451">
        <v>0</v>
      </c>
      <c r="N171" s="451">
        <v>0</v>
      </c>
      <c r="O171" s="188"/>
      <c r="P171" s="451">
        <v>0</v>
      </c>
      <c r="Q171" s="451">
        <v>0</v>
      </c>
      <c r="R171" s="451">
        <v>0</v>
      </c>
      <c r="S171" s="451">
        <v>0</v>
      </c>
      <c r="T171" s="451">
        <v>0</v>
      </c>
      <c r="U171" s="188"/>
      <c r="V171" s="451">
        <v>0</v>
      </c>
      <c r="W171" s="451">
        <v>0</v>
      </c>
      <c r="X171" s="451">
        <v>0</v>
      </c>
      <c r="Y171" s="451">
        <v>0</v>
      </c>
      <c r="Z171" s="451">
        <v>0</v>
      </c>
      <c r="AA171" s="188"/>
      <c r="AB171" s="451">
        <v>0</v>
      </c>
      <c r="AC171" s="451">
        <v>0</v>
      </c>
      <c r="AD171" s="451">
        <v>0</v>
      </c>
      <c r="AE171" s="451">
        <v>0</v>
      </c>
      <c r="AF171" s="451">
        <v>0</v>
      </c>
      <c r="AG171" s="188"/>
      <c r="AH171" s="451">
        <v>0</v>
      </c>
    </row>
    <row r="172" spans="1:34" x14ac:dyDescent="0.2">
      <c r="A172" s="449"/>
      <c r="B172" s="465"/>
      <c r="C172" s="475"/>
      <c r="D172" s="251"/>
      <c r="E172" s="451"/>
      <c r="F172" s="451"/>
      <c r="G172" s="451"/>
      <c r="H172" s="451"/>
      <c r="I172" s="188"/>
      <c r="J172" s="451"/>
      <c r="K172" s="451"/>
      <c r="L172" s="451"/>
      <c r="M172" s="451"/>
      <c r="N172" s="451"/>
      <c r="O172" s="188"/>
      <c r="P172" s="451"/>
      <c r="Q172" s="451"/>
      <c r="R172" s="451"/>
      <c r="S172" s="451"/>
      <c r="T172" s="451"/>
      <c r="U172" s="188"/>
      <c r="V172" s="451"/>
      <c r="W172" s="451"/>
      <c r="X172" s="451"/>
      <c r="Y172" s="451"/>
      <c r="Z172" s="451"/>
      <c r="AA172" s="188"/>
      <c r="AB172" s="451"/>
      <c r="AC172" s="451"/>
      <c r="AD172" s="451"/>
      <c r="AE172" s="451"/>
      <c r="AF172" s="451"/>
      <c r="AG172" s="188"/>
      <c r="AH172" s="451"/>
    </row>
    <row r="173" spans="1:34" x14ac:dyDescent="0.2">
      <c r="A173" s="449"/>
      <c r="B173" s="465"/>
      <c r="C173" s="475" t="s">
        <v>7</v>
      </c>
      <c r="D173" s="272" t="s">
        <v>78</v>
      </c>
      <c r="E173" s="451">
        <v>0</v>
      </c>
      <c r="F173" s="451">
        <v>0</v>
      </c>
      <c r="G173" s="451">
        <v>0</v>
      </c>
      <c r="H173" s="451">
        <v>0</v>
      </c>
      <c r="I173" s="188"/>
      <c r="J173" s="451">
        <v>0</v>
      </c>
      <c r="K173" s="451">
        <v>0</v>
      </c>
      <c r="L173" s="451">
        <v>0</v>
      </c>
      <c r="M173" s="451">
        <v>0</v>
      </c>
      <c r="N173" s="451">
        <v>0</v>
      </c>
      <c r="O173" s="188"/>
      <c r="P173" s="451">
        <v>0</v>
      </c>
      <c r="Q173" s="451">
        <v>0</v>
      </c>
      <c r="R173" s="451">
        <v>0</v>
      </c>
      <c r="S173" s="451">
        <v>0</v>
      </c>
      <c r="T173" s="451">
        <v>0</v>
      </c>
      <c r="U173" s="188"/>
      <c r="V173" s="451">
        <v>0</v>
      </c>
      <c r="W173" s="451">
        <v>0</v>
      </c>
      <c r="X173" s="451">
        <v>0</v>
      </c>
      <c r="Y173" s="451">
        <v>0</v>
      </c>
      <c r="Z173" s="451">
        <v>0</v>
      </c>
      <c r="AA173" s="188"/>
      <c r="AB173" s="451">
        <v>0</v>
      </c>
      <c r="AC173" s="451">
        <v>0</v>
      </c>
      <c r="AD173" s="451">
        <v>0</v>
      </c>
      <c r="AE173" s="451">
        <v>0</v>
      </c>
      <c r="AF173" s="451">
        <v>0</v>
      </c>
      <c r="AG173" s="188"/>
      <c r="AH173" s="451">
        <v>0</v>
      </c>
    </row>
    <row r="174" spans="1:34" x14ac:dyDescent="0.2">
      <c r="A174" s="449"/>
      <c r="B174" s="465"/>
      <c r="C174" s="475"/>
      <c r="D174" s="251"/>
      <c r="E174" s="451"/>
      <c r="F174" s="451"/>
      <c r="G174" s="451"/>
      <c r="H174" s="451"/>
      <c r="I174" s="188"/>
      <c r="J174" s="451"/>
      <c r="K174" s="451"/>
      <c r="L174" s="451"/>
      <c r="M174" s="451"/>
      <c r="N174" s="451"/>
      <c r="O174" s="188"/>
      <c r="P174" s="451"/>
      <c r="Q174" s="451"/>
      <c r="R174" s="451"/>
      <c r="S174" s="451"/>
      <c r="T174" s="451"/>
      <c r="U174" s="188"/>
      <c r="V174" s="451"/>
      <c r="W174" s="451"/>
      <c r="X174" s="451"/>
      <c r="Y174" s="451"/>
      <c r="Z174" s="451"/>
      <c r="AA174" s="188"/>
      <c r="AB174" s="451"/>
      <c r="AC174" s="451"/>
      <c r="AD174" s="451"/>
      <c r="AE174" s="451"/>
      <c r="AF174" s="451"/>
      <c r="AG174" s="188"/>
      <c r="AH174" s="451"/>
    </row>
    <row r="175" spans="1:34" x14ac:dyDescent="0.2">
      <c r="A175" s="449"/>
      <c r="B175" s="465"/>
      <c r="C175" s="475" t="s">
        <v>8</v>
      </c>
      <c r="D175" s="272" t="s">
        <v>78</v>
      </c>
      <c r="E175" s="451">
        <v>0</v>
      </c>
      <c r="F175" s="451">
        <v>0</v>
      </c>
      <c r="G175" s="451">
        <v>0</v>
      </c>
      <c r="H175" s="451">
        <v>0</v>
      </c>
      <c r="I175" s="188"/>
      <c r="J175" s="451">
        <v>0</v>
      </c>
      <c r="K175" s="451">
        <v>0</v>
      </c>
      <c r="L175" s="451">
        <v>0</v>
      </c>
      <c r="M175" s="451">
        <v>0</v>
      </c>
      <c r="N175" s="451">
        <v>0</v>
      </c>
      <c r="O175" s="188"/>
      <c r="P175" s="451">
        <v>0</v>
      </c>
      <c r="Q175" s="451">
        <v>0</v>
      </c>
      <c r="R175" s="451">
        <v>0</v>
      </c>
      <c r="S175" s="451">
        <v>0</v>
      </c>
      <c r="T175" s="451">
        <v>0</v>
      </c>
      <c r="U175" s="188"/>
      <c r="V175" s="451">
        <v>0</v>
      </c>
      <c r="W175" s="451">
        <v>0</v>
      </c>
      <c r="X175" s="451">
        <v>0</v>
      </c>
      <c r="Y175" s="451">
        <v>0</v>
      </c>
      <c r="Z175" s="451">
        <v>0</v>
      </c>
      <c r="AA175" s="188"/>
      <c r="AB175" s="451">
        <v>0</v>
      </c>
      <c r="AC175" s="451">
        <v>0</v>
      </c>
      <c r="AD175" s="451">
        <v>0</v>
      </c>
      <c r="AE175" s="451">
        <v>0</v>
      </c>
      <c r="AF175" s="451">
        <v>0</v>
      </c>
      <c r="AG175" s="188"/>
      <c r="AH175" s="451">
        <v>0</v>
      </c>
    </row>
    <row r="176" spans="1:34" x14ac:dyDescent="0.2">
      <c r="A176" s="449"/>
      <c r="B176" s="465"/>
      <c r="C176" s="475"/>
      <c r="D176" s="251"/>
      <c r="E176" s="451"/>
      <c r="F176" s="451"/>
      <c r="G176" s="451"/>
      <c r="H176" s="451"/>
      <c r="I176" s="188"/>
      <c r="J176" s="451"/>
      <c r="K176" s="451"/>
      <c r="L176" s="451"/>
      <c r="M176" s="451"/>
      <c r="N176" s="451"/>
      <c r="O176" s="188"/>
      <c r="P176" s="451"/>
      <c r="Q176" s="451"/>
      <c r="R176" s="451"/>
      <c r="S176" s="451"/>
      <c r="T176" s="451"/>
      <c r="U176" s="188"/>
      <c r="V176" s="451"/>
      <c r="W176" s="451"/>
      <c r="X176" s="451"/>
      <c r="Y176" s="451"/>
      <c r="Z176" s="451"/>
      <c r="AA176" s="188"/>
      <c r="AB176" s="451"/>
      <c r="AC176" s="451"/>
      <c r="AD176" s="451"/>
      <c r="AE176" s="451"/>
      <c r="AF176" s="451"/>
      <c r="AG176" s="188"/>
      <c r="AH176" s="451"/>
    </row>
    <row r="177" spans="1:34" x14ac:dyDescent="0.2">
      <c r="A177" s="449"/>
      <c r="B177" s="465" t="s">
        <v>141</v>
      </c>
      <c r="C177" s="475" t="s">
        <v>6</v>
      </c>
      <c r="D177" s="272" t="s">
        <v>78</v>
      </c>
      <c r="E177" s="451">
        <v>0</v>
      </c>
      <c r="F177" s="451">
        <v>0</v>
      </c>
      <c r="G177" s="451">
        <v>0</v>
      </c>
      <c r="H177" s="451">
        <v>0</v>
      </c>
      <c r="I177" s="188"/>
      <c r="J177" s="451">
        <v>0</v>
      </c>
      <c r="K177" s="451">
        <v>0</v>
      </c>
      <c r="L177" s="451">
        <v>0</v>
      </c>
      <c r="M177" s="451">
        <v>0</v>
      </c>
      <c r="N177" s="451">
        <v>0</v>
      </c>
      <c r="O177" s="188"/>
      <c r="P177" s="451">
        <v>0</v>
      </c>
      <c r="Q177" s="451">
        <v>0</v>
      </c>
      <c r="R177" s="451">
        <v>0</v>
      </c>
      <c r="S177" s="451">
        <v>0</v>
      </c>
      <c r="T177" s="451">
        <v>0</v>
      </c>
      <c r="U177" s="188"/>
      <c r="V177" s="451">
        <v>0</v>
      </c>
      <c r="W177" s="451">
        <v>0</v>
      </c>
      <c r="X177" s="451">
        <v>0</v>
      </c>
      <c r="Y177" s="451">
        <v>0</v>
      </c>
      <c r="Z177" s="451">
        <v>0</v>
      </c>
      <c r="AA177" s="188"/>
      <c r="AB177" s="451">
        <v>0</v>
      </c>
      <c r="AC177" s="451">
        <v>0</v>
      </c>
      <c r="AD177" s="451">
        <v>0</v>
      </c>
      <c r="AE177" s="451">
        <v>0</v>
      </c>
      <c r="AF177" s="451">
        <v>0</v>
      </c>
      <c r="AG177" s="188"/>
      <c r="AH177" s="451">
        <v>0</v>
      </c>
    </row>
    <row r="178" spans="1:34" x14ac:dyDescent="0.2">
      <c r="A178" s="449"/>
      <c r="B178" s="465"/>
      <c r="C178" s="475"/>
      <c r="D178" s="251"/>
      <c r="E178" s="451"/>
      <c r="F178" s="451"/>
      <c r="G178" s="451"/>
      <c r="H178" s="451"/>
      <c r="I178" s="188"/>
      <c r="J178" s="451"/>
      <c r="K178" s="451"/>
      <c r="L178" s="451"/>
      <c r="M178" s="451"/>
      <c r="N178" s="451"/>
      <c r="O178" s="188"/>
      <c r="P178" s="451"/>
      <c r="Q178" s="451"/>
      <c r="R178" s="451"/>
      <c r="S178" s="451"/>
      <c r="T178" s="451"/>
      <c r="U178" s="188"/>
      <c r="V178" s="451"/>
      <c r="W178" s="451"/>
      <c r="X178" s="451"/>
      <c r="Y178" s="451"/>
      <c r="Z178" s="451"/>
      <c r="AA178" s="188"/>
      <c r="AB178" s="451"/>
      <c r="AC178" s="451"/>
      <c r="AD178" s="451"/>
      <c r="AE178" s="451"/>
      <c r="AF178" s="451"/>
      <c r="AG178" s="188"/>
      <c r="AH178" s="451"/>
    </row>
    <row r="179" spans="1:34" x14ac:dyDescent="0.2">
      <c r="A179" s="449"/>
      <c r="B179" s="465"/>
      <c r="C179" s="475" t="s">
        <v>7</v>
      </c>
      <c r="D179" s="272" t="s">
        <v>78</v>
      </c>
      <c r="E179" s="451">
        <v>0</v>
      </c>
      <c r="F179" s="451">
        <v>0</v>
      </c>
      <c r="G179" s="451">
        <v>0</v>
      </c>
      <c r="H179" s="451">
        <v>0</v>
      </c>
      <c r="I179" s="188"/>
      <c r="J179" s="451">
        <v>0</v>
      </c>
      <c r="K179" s="451">
        <v>0</v>
      </c>
      <c r="L179" s="451">
        <v>0</v>
      </c>
      <c r="M179" s="451">
        <v>0</v>
      </c>
      <c r="N179" s="451">
        <v>0</v>
      </c>
      <c r="O179" s="188"/>
      <c r="P179" s="451">
        <v>0</v>
      </c>
      <c r="Q179" s="451">
        <v>0</v>
      </c>
      <c r="R179" s="451">
        <v>0</v>
      </c>
      <c r="S179" s="451">
        <v>0</v>
      </c>
      <c r="T179" s="451">
        <v>0</v>
      </c>
      <c r="U179" s="188"/>
      <c r="V179" s="451">
        <v>0</v>
      </c>
      <c r="W179" s="451">
        <v>0</v>
      </c>
      <c r="X179" s="451">
        <v>0</v>
      </c>
      <c r="Y179" s="451">
        <v>0</v>
      </c>
      <c r="Z179" s="451">
        <v>0</v>
      </c>
      <c r="AA179" s="188"/>
      <c r="AB179" s="451">
        <v>0</v>
      </c>
      <c r="AC179" s="451">
        <v>0</v>
      </c>
      <c r="AD179" s="451">
        <v>0</v>
      </c>
      <c r="AE179" s="451">
        <v>0</v>
      </c>
      <c r="AF179" s="451">
        <v>0</v>
      </c>
      <c r="AG179" s="188"/>
      <c r="AH179" s="451">
        <v>0</v>
      </c>
    </row>
    <row r="180" spans="1:34" x14ac:dyDescent="0.2">
      <c r="A180" s="449"/>
      <c r="B180" s="465"/>
      <c r="C180" s="475"/>
      <c r="D180" s="251"/>
      <c r="E180" s="451"/>
      <c r="F180" s="451"/>
      <c r="G180" s="451"/>
      <c r="H180" s="451"/>
      <c r="I180" s="188"/>
      <c r="J180" s="451"/>
      <c r="K180" s="451"/>
      <c r="L180" s="451"/>
      <c r="M180" s="451"/>
      <c r="N180" s="451"/>
      <c r="O180" s="188"/>
      <c r="P180" s="451"/>
      <c r="Q180" s="451"/>
      <c r="R180" s="451"/>
      <c r="S180" s="451"/>
      <c r="T180" s="451"/>
      <c r="U180" s="188"/>
      <c r="V180" s="451"/>
      <c r="W180" s="451"/>
      <c r="X180" s="451"/>
      <c r="Y180" s="451"/>
      <c r="Z180" s="451"/>
      <c r="AA180" s="188"/>
      <c r="AB180" s="451"/>
      <c r="AC180" s="451"/>
      <c r="AD180" s="451"/>
      <c r="AE180" s="451"/>
      <c r="AF180" s="451"/>
      <c r="AG180" s="188"/>
      <c r="AH180" s="451"/>
    </row>
    <row r="181" spans="1:34" x14ac:dyDescent="0.2">
      <c r="A181" s="449"/>
      <c r="B181" s="465"/>
      <c r="C181" s="475" t="s">
        <v>8</v>
      </c>
      <c r="D181" s="272" t="s">
        <v>78</v>
      </c>
      <c r="E181" s="451">
        <v>0</v>
      </c>
      <c r="F181" s="451">
        <v>0</v>
      </c>
      <c r="G181" s="451">
        <v>0</v>
      </c>
      <c r="H181" s="451">
        <v>0</v>
      </c>
      <c r="I181" s="188"/>
      <c r="J181" s="451">
        <v>0</v>
      </c>
      <c r="K181" s="451">
        <v>0</v>
      </c>
      <c r="L181" s="451">
        <v>0</v>
      </c>
      <c r="M181" s="451">
        <v>0</v>
      </c>
      <c r="N181" s="451">
        <v>0</v>
      </c>
      <c r="O181" s="188"/>
      <c r="P181" s="451">
        <v>0</v>
      </c>
      <c r="Q181" s="451">
        <v>0</v>
      </c>
      <c r="R181" s="451">
        <v>0</v>
      </c>
      <c r="S181" s="451">
        <v>0</v>
      </c>
      <c r="T181" s="451">
        <v>0</v>
      </c>
      <c r="U181" s="188"/>
      <c r="V181" s="451">
        <v>0</v>
      </c>
      <c r="W181" s="451">
        <v>0</v>
      </c>
      <c r="X181" s="451">
        <v>0</v>
      </c>
      <c r="Y181" s="451">
        <v>0</v>
      </c>
      <c r="Z181" s="451">
        <v>0</v>
      </c>
      <c r="AA181" s="188"/>
      <c r="AB181" s="451">
        <v>0</v>
      </c>
      <c r="AC181" s="451">
        <v>0</v>
      </c>
      <c r="AD181" s="451">
        <v>0</v>
      </c>
      <c r="AE181" s="451">
        <v>0</v>
      </c>
      <c r="AF181" s="451">
        <v>0</v>
      </c>
      <c r="AG181" s="188"/>
      <c r="AH181" s="451">
        <v>0</v>
      </c>
    </row>
    <row r="182" spans="1:34" x14ac:dyDescent="0.2">
      <c r="A182" s="449"/>
      <c r="B182" s="465"/>
      <c r="C182" s="475"/>
      <c r="D182" s="251"/>
      <c r="E182" s="451"/>
      <c r="F182" s="451"/>
      <c r="G182" s="451"/>
      <c r="H182" s="451"/>
      <c r="I182" s="188"/>
      <c r="J182" s="451"/>
      <c r="K182" s="451"/>
      <c r="L182" s="451"/>
      <c r="M182" s="451"/>
      <c r="N182" s="451"/>
      <c r="O182" s="188"/>
      <c r="P182" s="451"/>
      <c r="Q182" s="451"/>
      <c r="R182" s="451"/>
      <c r="S182" s="451"/>
      <c r="T182" s="451"/>
      <c r="U182" s="188"/>
      <c r="V182" s="451"/>
      <c r="W182" s="451"/>
      <c r="X182" s="451"/>
      <c r="Y182" s="451"/>
      <c r="Z182" s="451"/>
      <c r="AA182" s="188"/>
      <c r="AB182" s="451"/>
      <c r="AC182" s="451"/>
      <c r="AD182" s="451"/>
      <c r="AE182" s="451"/>
      <c r="AF182" s="451"/>
      <c r="AG182" s="188"/>
      <c r="AH182" s="451"/>
    </row>
    <row r="183" spans="1:34" x14ac:dyDescent="0.2">
      <c r="A183" s="449"/>
      <c r="B183" s="465" t="s">
        <v>89</v>
      </c>
      <c r="C183" s="475" t="s">
        <v>6</v>
      </c>
      <c r="D183" s="272" t="s">
        <v>78</v>
      </c>
      <c r="E183" s="454">
        <v>1E-3</v>
      </c>
      <c r="F183" s="454">
        <v>1E-3</v>
      </c>
      <c r="G183" s="454">
        <v>1E-3</v>
      </c>
      <c r="H183" s="454">
        <v>1E-3</v>
      </c>
      <c r="I183" s="188"/>
      <c r="J183" s="454">
        <v>1E-3</v>
      </c>
      <c r="K183" s="454">
        <v>1E-3</v>
      </c>
      <c r="L183" s="454">
        <v>1E-3</v>
      </c>
      <c r="M183" s="454">
        <v>1E-3</v>
      </c>
      <c r="N183" s="454">
        <v>1E-3</v>
      </c>
      <c r="O183" s="188"/>
      <c r="P183" s="454">
        <v>1E-3</v>
      </c>
      <c r="Q183" s="454">
        <v>1E-3</v>
      </c>
      <c r="R183" s="454">
        <v>1E-3</v>
      </c>
      <c r="S183" s="454">
        <v>1E-3</v>
      </c>
      <c r="T183" s="454">
        <v>1E-3</v>
      </c>
      <c r="U183" s="188"/>
      <c r="V183" s="454">
        <v>1E-3</v>
      </c>
      <c r="W183" s="454">
        <v>1E-3</v>
      </c>
      <c r="X183" s="454">
        <v>1E-3</v>
      </c>
      <c r="Y183" s="454">
        <v>1E-3</v>
      </c>
      <c r="Z183" s="454">
        <v>1E-3</v>
      </c>
      <c r="AA183" s="188"/>
      <c r="AB183" s="454">
        <v>1E-3</v>
      </c>
      <c r="AC183" s="454">
        <v>1E-3</v>
      </c>
      <c r="AD183" s="454">
        <v>1E-3</v>
      </c>
      <c r="AE183" s="454">
        <v>1E-3</v>
      </c>
      <c r="AF183" s="454">
        <v>1E-3</v>
      </c>
      <c r="AG183" s="188"/>
      <c r="AH183" s="454">
        <v>1E-3</v>
      </c>
    </row>
    <row r="184" spans="1:34" x14ac:dyDescent="0.2">
      <c r="A184" s="449"/>
      <c r="B184" s="465"/>
      <c r="C184" s="475"/>
      <c r="D184" s="251"/>
      <c r="E184" s="454"/>
      <c r="F184" s="454"/>
      <c r="G184" s="454"/>
      <c r="H184" s="454"/>
      <c r="I184" s="188"/>
      <c r="J184" s="454"/>
      <c r="K184" s="454"/>
      <c r="L184" s="454"/>
      <c r="M184" s="454"/>
      <c r="N184" s="454"/>
      <c r="O184" s="188"/>
      <c r="P184" s="454"/>
      <c r="Q184" s="454"/>
      <c r="R184" s="454"/>
      <c r="S184" s="454"/>
      <c r="T184" s="454"/>
      <c r="U184" s="188"/>
      <c r="V184" s="454"/>
      <c r="W184" s="454"/>
      <c r="X184" s="454"/>
      <c r="Y184" s="454"/>
      <c r="Z184" s="454"/>
      <c r="AA184" s="188"/>
      <c r="AB184" s="454"/>
      <c r="AC184" s="454"/>
      <c r="AD184" s="454"/>
      <c r="AE184" s="454"/>
      <c r="AF184" s="454"/>
      <c r="AG184" s="188"/>
      <c r="AH184" s="454"/>
    </row>
    <row r="185" spans="1:34" x14ac:dyDescent="0.2">
      <c r="A185" s="449"/>
      <c r="B185" s="465"/>
      <c r="C185" s="475" t="s">
        <v>7</v>
      </c>
      <c r="D185" s="272" t="s">
        <v>78</v>
      </c>
      <c r="E185" s="451">
        <v>0.01</v>
      </c>
      <c r="F185" s="451">
        <v>0.01</v>
      </c>
      <c r="G185" s="451">
        <v>0.01</v>
      </c>
      <c r="H185" s="451">
        <v>0.01</v>
      </c>
      <c r="I185" s="188"/>
      <c r="J185" s="451">
        <v>0.01</v>
      </c>
      <c r="K185" s="451">
        <v>0.01</v>
      </c>
      <c r="L185" s="451">
        <v>0.01</v>
      </c>
      <c r="M185" s="451">
        <v>0.01</v>
      </c>
      <c r="N185" s="451">
        <v>0.01</v>
      </c>
      <c r="O185" s="188"/>
      <c r="P185" s="451">
        <v>0.01</v>
      </c>
      <c r="Q185" s="451">
        <v>0.01</v>
      </c>
      <c r="R185" s="451">
        <v>0.01</v>
      </c>
      <c r="S185" s="451">
        <v>0.01</v>
      </c>
      <c r="T185" s="451">
        <v>0.01</v>
      </c>
      <c r="U185" s="188"/>
      <c r="V185" s="451">
        <v>0.01</v>
      </c>
      <c r="W185" s="451">
        <v>0.01</v>
      </c>
      <c r="X185" s="451">
        <v>0.01</v>
      </c>
      <c r="Y185" s="451">
        <v>0.01</v>
      </c>
      <c r="Z185" s="451">
        <v>0.01</v>
      </c>
      <c r="AA185" s="188"/>
      <c r="AB185" s="451">
        <v>0.01</v>
      </c>
      <c r="AC185" s="451">
        <v>0.01</v>
      </c>
      <c r="AD185" s="451">
        <v>0.01</v>
      </c>
      <c r="AE185" s="451">
        <v>0.01</v>
      </c>
      <c r="AF185" s="451">
        <v>0.01</v>
      </c>
      <c r="AG185" s="188"/>
      <c r="AH185" s="451">
        <v>0.01</v>
      </c>
    </row>
    <row r="186" spans="1:34" x14ac:dyDescent="0.2">
      <c r="A186" s="449"/>
      <c r="B186" s="465"/>
      <c r="C186" s="475"/>
      <c r="D186" s="251"/>
      <c r="E186" s="451"/>
      <c r="F186" s="451"/>
      <c r="G186" s="451"/>
      <c r="H186" s="451"/>
      <c r="I186" s="188"/>
      <c r="J186" s="451"/>
      <c r="K186" s="451"/>
      <c r="L186" s="451"/>
      <c r="M186" s="451"/>
      <c r="N186" s="451"/>
      <c r="O186" s="188"/>
      <c r="P186" s="451"/>
      <c r="Q186" s="451"/>
      <c r="R186" s="451"/>
      <c r="S186" s="451"/>
      <c r="T186" s="451"/>
      <c r="U186" s="188"/>
      <c r="V186" s="451"/>
      <c r="W186" s="451"/>
      <c r="X186" s="451"/>
      <c r="Y186" s="451"/>
      <c r="Z186" s="451"/>
      <c r="AA186" s="188"/>
      <c r="AB186" s="451"/>
      <c r="AC186" s="451"/>
      <c r="AD186" s="451"/>
      <c r="AE186" s="451"/>
      <c r="AF186" s="451"/>
      <c r="AG186" s="188"/>
      <c r="AH186" s="451"/>
    </row>
    <row r="187" spans="1:34" x14ac:dyDescent="0.2">
      <c r="A187" s="449"/>
      <c r="B187" s="465"/>
      <c r="C187" s="475" t="s">
        <v>8</v>
      </c>
      <c r="D187" s="272" t="s">
        <v>78</v>
      </c>
      <c r="E187" s="451">
        <v>0.01</v>
      </c>
      <c r="F187" s="451">
        <v>0.01</v>
      </c>
      <c r="G187" s="451">
        <v>0.01</v>
      </c>
      <c r="H187" s="451">
        <v>0.01</v>
      </c>
      <c r="I187" s="188"/>
      <c r="J187" s="451">
        <v>0.01</v>
      </c>
      <c r="K187" s="451">
        <v>0.01</v>
      </c>
      <c r="L187" s="451">
        <v>0.01</v>
      </c>
      <c r="M187" s="451">
        <v>0.01</v>
      </c>
      <c r="N187" s="451">
        <v>0.01</v>
      </c>
      <c r="O187" s="188"/>
      <c r="P187" s="451">
        <v>0.01</v>
      </c>
      <c r="Q187" s="451">
        <v>0.01</v>
      </c>
      <c r="R187" s="451">
        <v>0.01</v>
      </c>
      <c r="S187" s="451">
        <v>0.01</v>
      </c>
      <c r="T187" s="451">
        <v>0.01</v>
      </c>
      <c r="U187" s="188"/>
      <c r="V187" s="451">
        <v>0.01</v>
      </c>
      <c r="W187" s="451">
        <v>0.01</v>
      </c>
      <c r="X187" s="451">
        <v>0.01</v>
      </c>
      <c r="Y187" s="451">
        <v>0.01</v>
      </c>
      <c r="Z187" s="451">
        <v>0.01</v>
      </c>
      <c r="AA187" s="188"/>
      <c r="AB187" s="451">
        <v>0.01</v>
      </c>
      <c r="AC187" s="451">
        <v>0.01</v>
      </c>
      <c r="AD187" s="451">
        <v>0.01</v>
      </c>
      <c r="AE187" s="451">
        <v>0.01</v>
      </c>
      <c r="AF187" s="451">
        <v>0.01</v>
      </c>
      <c r="AG187" s="188"/>
      <c r="AH187" s="451">
        <v>0.01</v>
      </c>
    </row>
    <row r="188" spans="1:34" x14ac:dyDescent="0.2">
      <c r="A188" s="449"/>
      <c r="B188" s="465"/>
      <c r="C188" s="475"/>
      <c r="D188" s="251"/>
      <c r="E188" s="451"/>
      <c r="F188" s="451"/>
      <c r="G188" s="451"/>
      <c r="H188" s="451"/>
      <c r="I188" s="188"/>
      <c r="J188" s="451"/>
      <c r="K188" s="451"/>
      <c r="L188" s="451"/>
      <c r="M188" s="451"/>
      <c r="N188" s="451"/>
      <c r="O188" s="188"/>
      <c r="P188" s="451"/>
      <c r="Q188" s="451"/>
      <c r="R188" s="451"/>
      <c r="S188" s="451"/>
      <c r="T188" s="451"/>
      <c r="U188" s="188"/>
      <c r="V188" s="451"/>
      <c r="W188" s="451"/>
      <c r="X188" s="451"/>
      <c r="Y188" s="451"/>
      <c r="Z188" s="451"/>
      <c r="AA188" s="188"/>
      <c r="AB188" s="451"/>
      <c r="AC188" s="451"/>
      <c r="AD188" s="451"/>
      <c r="AE188" s="451"/>
      <c r="AF188" s="451"/>
      <c r="AG188" s="188"/>
      <c r="AH188" s="451"/>
    </row>
    <row r="189" spans="1:34" x14ac:dyDescent="0.2">
      <c r="A189" s="176">
        <v>1.7</v>
      </c>
      <c r="B189" s="457" t="s">
        <v>28</v>
      </c>
      <c r="C189" s="458"/>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x14ac:dyDescent="0.2">
      <c r="A190" s="469"/>
      <c r="B190" s="465" t="s">
        <v>90</v>
      </c>
      <c r="C190" s="465"/>
      <c r="D190" s="272" t="s">
        <v>78</v>
      </c>
      <c r="E190" s="451">
        <v>0.2</v>
      </c>
      <c r="F190" s="451">
        <v>0.2</v>
      </c>
      <c r="G190" s="451">
        <v>0.2</v>
      </c>
      <c r="H190" s="451">
        <v>0.2</v>
      </c>
      <c r="I190" s="188"/>
      <c r="J190" s="451">
        <v>0.2</v>
      </c>
      <c r="K190" s="451">
        <v>0.2</v>
      </c>
      <c r="L190" s="451">
        <v>0.2</v>
      </c>
      <c r="M190" s="451">
        <v>0.2</v>
      </c>
      <c r="N190" s="451">
        <v>0.2</v>
      </c>
      <c r="O190" s="188"/>
      <c r="P190" s="451">
        <v>0.2</v>
      </c>
      <c r="Q190" s="451">
        <v>0.2</v>
      </c>
      <c r="R190" s="451">
        <v>0.2</v>
      </c>
      <c r="S190" s="451">
        <v>0.2</v>
      </c>
      <c r="T190" s="451">
        <v>0.2</v>
      </c>
      <c r="U190" s="188"/>
      <c r="V190" s="451">
        <v>0.2</v>
      </c>
      <c r="W190" s="451">
        <v>0.2</v>
      </c>
      <c r="X190" s="451">
        <v>0.2</v>
      </c>
      <c r="Y190" s="451">
        <v>0.2</v>
      </c>
      <c r="Z190" s="451">
        <v>0.2</v>
      </c>
      <c r="AA190" s="188"/>
      <c r="AB190" s="451">
        <v>0.2</v>
      </c>
      <c r="AC190" s="451">
        <v>0.2</v>
      </c>
      <c r="AD190" s="451">
        <v>0.2</v>
      </c>
      <c r="AE190" s="451">
        <v>0.2</v>
      </c>
      <c r="AF190" s="451">
        <v>0.2</v>
      </c>
      <c r="AG190" s="188"/>
      <c r="AH190" s="451">
        <v>0.2</v>
      </c>
    </row>
    <row r="191" spans="1:34" x14ac:dyDescent="0.2">
      <c r="A191" s="469"/>
      <c r="B191" s="465"/>
      <c r="C191" s="465"/>
      <c r="D191" s="251"/>
      <c r="E191" s="451"/>
      <c r="F191" s="451"/>
      <c r="G191" s="451"/>
      <c r="H191" s="451"/>
      <c r="I191" s="188"/>
      <c r="J191" s="451"/>
      <c r="K191" s="451"/>
      <c r="L191" s="451"/>
      <c r="M191" s="451"/>
      <c r="N191" s="451"/>
      <c r="O191" s="188"/>
      <c r="P191" s="451"/>
      <c r="Q191" s="451"/>
      <c r="R191" s="451"/>
      <c r="S191" s="451"/>
      <c r="T191" s="451"/>
      <c r="U191" s="188"/>
      <c r="V191" s="451"/>
      <c r="W191" s="451"/>
      <c r="X191" s="451"/>
      <c r="Y191" s="451"/>
      <c r="Z191" s="451"/>
      <c r="AA191" s="188"/>
      <c r="AB191" s="451"/>
      <c r="AC191" s="451"/>
      <c r="AD191" s="451"/>
      <c r="AE191" s="451"/>
      <c r="AF191" s="451"/>
      <c r="AG191" s="188"/>
      <c r="AH191" s="451"/>
    </row>
    <row r="192" spans="1:34" x14ac:dyDescent="0.2">
      <c r="A192" s="469"/>
      <c r="B192" s="465" t="s">
        <v>91</v>
      </c>
      <c r="C192" s="465"/>
      <c r="D192" s="272" t="s">
        <v>78</v>
      </c>
      <c r="E192" s="451">
        <v>1</v>
      </c>
      <c r="F192" s="451">
        <v>1</v>
      </c>
      <c r="G192" s="451">
        <v>1</v>
      </c>
      <c r="H192" s="451">
        <v>1</v>
      </c>
      <c r="I192" s="188"/>
      <c r="J192" s="451">
        <v>1</v>
      </c>
      <c r="K192" s="451">
        <v>1</v>
      </c>
      <c r="L192" s="451">
        <v>1</v>
      </c>
      <c r="M192" s="451">
        <v>1</v>
      </c>
      <c r="N192" s="451">
        <v>1</v>
      </c>
      <c r="O192" s="188"/>
      <c r="P192" s="451">
        <v>1</v>
      </c>
      <c r="Q192" s="451">
        <v>1</v>
      </c>
      <c r="R192" s="451">
        <v>1</v>
      </c>
      <c r="S192" s="451">
        <v>1</v>
      </c>
      <c r="T192" s="451">
        <v>1</v>
      </c>
      <c r="U192" s="188"/>
      <c r="V192" s="451">
        <v>1</v>
      </c>
      <c r="W192" s="451">
        <v>1</v>
      </c>
      <c r="X192" s="451">
        <v>1</v>
      </c>
      <c r="Y192" s="451">
        <v>1</v>
      </c>
      <c r="Z192" s="451">
        <v>1</v>
      </c>
      <c r="AA192" s="188"/>
      <c r="AB192" s="451">
        <v>1</v>
      </c>
      <c r="AC192" s="451">
        <v>1</v>
      </c>
      <c r="AD192" s="451">
        <v>1</v>
      </c>
      <c r="AE192" s="451">
        <v>1</v>
      </c>
      <c r="AF192" s="451">
        <v>1</v>
      </c>
      <c r="AG192" s="188"/>
      <c r="AH192" s="451">
        <v>1</v>
      </c>
    </row>
    <row r="193" spans="1:34" x14ac:dyDescent="0.2">
      <c r="A193" s="469"/>
      <c r="B193" s="465"/>
      <c r="C193" s="465"/>
      <c r="D193" s="251"/>
      <c r="E193" s="451"/>
      <c r="F193" s="451"/>
      <c r="G193" s="451"/>
      <c r="H193" s="451"/>
      <c r="I193" s="188"/>
      <c r="J193" s="451"/>
      <c r="K193" s="451"/>
      <c r="L193" s="451"/>
      <c r="M193" s="451"/>
      <c r="N193" s="451"/>
      <c r="O193" s="188"/>
      <c r="P193" s="451"/>
      <c r="Q193" s="451"/>
      <c r="R193" s="451"/>
      <c r="S193" s="451"/>
      <c r="T193" s="451"/>
      <c r="U193" s="188"/>
      <c r="V193" s="451"/>
      <c r="W193" s="451"/>
      <c r="X193" s="451"/>
      <c r="Y193" s="451"/>
      <c r="Z193" s="451"/>
      <c r="AA193" s="188"/>
      <c r="AB193" s="451"/>
      <c r="AC193" s="451"/>
      <c r="AD193" s="451"/>
      <c r="AE193" s="451"/>
      <c r="AF193" s="451"/>
      <c r="AG193" s="188"/>
      <c r="AH193" s="451"/>
    </row>
    <row r="194" spans="1:34" x14ac:dyDescent="0.2">
      <c r="A194" s="195">
        <v>2</v>
      </c>
      <c r="B194" s="498" t="s">
        <v>29</v>
      </c>
      <c r="C194" s="499"/>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x14ac:dyDescent="0.2">
      <c r="A195" s="195">
        <v>2.1</v>
      </c>
      <c r="B195" s="498" t="s">
        <v>30</v>
      </c>
      <c r="C195" s="499"/>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54" customHeight="1" x14ac:dyDescent="0.2">
      <c r="A196" s="469"/>
      <c r="B196" s="468" t="s">
        <v>142</v>
      </c>
      <c r="C196" s="468"/>
      <c r="D196" s="273" t="s">
        <v>78</v>
      </c>
      <c r="E196" s="454">
        <v>0.08</v>
      </c>
      <c r="F196" s="454">
        <v>0.08</v>
      </c>
      <c r="G196" s="454">
        <v>0.08</v>
      </c>
      <c r="H196" s="454">
        <v>0.08</v>
      </c>
      <c r="I196" s="197"/>
      <c r="J196" s="454">
        <v>0.08</v>
      </c>
      <c r="K196" s="454">
        <v>0.08</v>
      </c>
      <c r="L196" s="454">
        <v>0.08</v>
      </c>
      <c r="M196" s="454">
        <v>0.08</v>
      </c>
      <c r="N196" s="454">
        <v>0.08</v>
      </c>
      <c r="O196" s="197"/>
      <c r="P196" s="454">
        <v>0.08</v>
      </c>
      <c r="Q196" s="454">
        <v>0.08</v>
      </c>
      <c r="R196" s="454">
        <v>0.08</v>
      </c>
      <c r="S196" s="454">
        <v>0.08</v>
      </c>
      <c r="T196" s="454">
        <v>0.08</v>
      </c>
      <c r="U196" s="197"/>
      <c r="V196" s="454">
        <v>0.08</v>
      </c>
      <c r="W196" s="454">
        <v>0.08</v>
      </c>
      <c r="X196" s="454">
        <v>0.08</v>
      </c>
      <c r="Y196" s="454">
        <v>0.08</v>
      </c>
      <c r="Z196" s="454">
        <v>0.08</v>
      </c>
      <c r="AA196" s="197"/>
      <c r="AB196" s="454">
        <v>0.08</v>
      </c>
      <c r="AC196" s="459">
        <v>0.08</v>
      </c>
      <c r="AD196" s="459">
        <v>0.08</v>
      </c>
      <c r="AE196" s="459">
        <v>0.08</v>
      </c>
      <c r="AF196" s="459">
        <v>0.08</v>
      </c>
      <c r="AG196" s="185"/>
      <c r="AH196" s="454">
        <v>0.08</v>
      </c>
    </row>
    <row r="197" spans="1:34" ht="9.6" customHeight="1" x14ac:dyDescent="0.2">
      <c r="A197" s="469"/>
      <c r="B197" s="468"/>
      <c r="C197" s="468"/>
      <c r="D197" s="273"/>
      <c r="E197" s="454"/>
      <c r="F197" s="454"/>
      <c r="G197" s="454"/>
      <c r="H197" s="454"/>
      <c r="I197" s="197"/>
      <c r="J197" s="454"/>
      <c r="K197" s="454">
        <v>0.56999999999999995</v>
      </c>
      <c r="L197" s="454">
        <v>0.56999999999999995</v>
      </c>
      <c r="M197" s="454">
        <v>0.56999999999999995</v>
      </c>
      <c r="N197" s="454">
        <v>0.56999999999999995</v>
      </c>
      <c r="O197" s="197"/>
      <c r="P197" s="454">
        <v>0.56999999999999995</v>
      </c>
      <c r="Q197" s="454">
        <v>0.56999999999999995</v>
      </c>
      <c r="R197" s="454">
        <v>0.56999999999999995</v>
      </c>
      <c r="S197" s="454">
        <v>0.56999999999999995</v>
      </c>
      <c r="T197" s="454">
        <v>0.56999999999999995</v>
      </c>
      <c r="U197" s="197"/>
      <c r="V197" s="454">
        <v>0.56999999999999995</v>
      </c>
      <c r="W197" s="454">
        <v>0.56999999999999995</v>
      </c>
      <c r="X197" s="454">
        <v>0.56999999999999995</v>
      </c>
      <c r="Y197" s="454">
        <v>0.56999999999999995</v>
      </c>
      <c r="Z197" s="454">
        <v>0.56999999999999995</v>
      </c>
      <c r="AA197" s="197"/>
      <c r="AB197" s="454">
        <v>0.56999999999999995</v>
      </c>
      <c r="AC197" s="492">
        <v>0.56999999999999995</v>
      </c>
      <c r="AD197" s="492">
        <v>0.56999999999999995</v>
      </c>
      <c r="AE197" s="492">
        <v>0.56999999999999995</v>
      </c>
      <c r="AF197" s="492">
        <v>0.56999999999999995</v>
      </c>
      <c r="AG197" s="185"/>
      <c r="AH197" s="454">
        <v>0.56999999999999995</v>
      </c>
    </row>
    <row r="198" spans="1:34" x14ac:dyDescent="0.2">
      <c r="A198" s="469"/>
      <c r="B198" s="474" t="s">
        <v>146</v>
      </c>
      <c r="C198" s="474"/>
      <c r="D198" s="273" t="s">
        <v>78</v>
      </c>
      <c r="E198" s="451">
        <v>1</v>
      </c>
      <c r="F198" s="451">
        <v>1</v>
      </c>
      <c r="G198" s="451">
        <v>1</v>
      </c>
      <c r="H198" s="451">
        <v>1</v>
      </c>
      <c r="I198" s="179"/>
      <c r="J198" s="451">
        <v>1</v>
      </c>
      <c r="K198" s="451">
        <v>1</v>
      </c>
      <c r="L198" s="451">
        <v>1</v>
      </c>
      <c r="M198" s="451">
        <v>1</v>
      </c>
      <c r="N198" s="451">
        <v>1</v>
      </c>
      <c r="O198" s="179"/>
      <c r="P198" s="451">
        <v>1</v>
      </c>
      <c r="Q198" s="451">
        <v>1</v>
      </c>
      <c r="R198" s="451">
        <v>1</v>
      </c>
      <c r="S198" s="451">
        <v>1</v>
      </c>
      <c r="T198" s="451">
        <v>1</v>
      </c>
      <c r="U198" s="179"/>
      <c r="V198" s="451">
        <v>1</v>
      </c>
      <c r="W198" s="451">
        <v>1</v>
      </c>
      <c r="X198" s="451">
        <v>1</v>
      </c>
      <c r="Y198" s="451">
        <v>1</v>
      </c>
      <c r="Z198" s="451">
        <v>1</v>
      </c>
      <c r="AA198" s="179"/>
      <c r="AB198" s="451">
        <v>1</v>
      </c>
      <c r="AC198" s="493">
        <v>1</v>
      </c>
      <c r="AD198" s="493">
        <v>1</v>
      </c>
      <c r="AE198" s="493">
        <v>1</v>
      </c>
      <c r="AF198" s="493">
        <v>1</v>
      </c>
      <c r="AG198" s="179"/>
      <c r="AH198" s="451">
        <v>1</v>
      </c>
    </row>
    <row r="199" spans="1:34" x14ac:dyDescent="0.2">
      <c r="A199" s="469"/>
      <c r="B199" s="474"/>
      <c r="C199" s="474"/>
      <c r="D199" s="273"/>
      <c r="E199" s="451"/>
      <c r="F199" s="451"/>
      <c r="G199" s="451"/>
      <c r="H199" s="451"/>
      <c r="I199" s="179"/>
      <c r="J199" s="451"/>
      <c r="K199" s="451"/>
      <c r="L199" s="451"/>
      <c r="M199" s="451"/>
      <c r="N199" s="451"/>
      <c r="O199" s="179"/>
      <c r="P199" s="451"/>
      <c r="Q199" s="451"/>
      <c r="R199" s="451"/>
      <c r="S199" s="451"/>
      <c r="T199" s="451"/>
      <c r="U199" s="179"/>
      <c r="V199" s="451"/>
      <c r="W199" s="451"/>
      <c r="X199" s="451"/>
      <c r="Y199" s="451"/>
      <c r="Z199" s="451"/>
      <c r="AA199" s="179"/>
      <c r="AB199" s="451"/>
      <c r="AC199" s="494"/>
      <c r="AD199" s="494"/>
      <c r="AE199" s="494"/>
      <c r="AF199" s="494"/>
      <c r="AG199" s="179"/>
      <c r="AH199" s="451"/>
    </row>
    <row r="200" spans="1:34" ht="18" customHeight="1" x14ac:dyDescent="0.2">
      <c r="A200" s="469"/>
      <c r="B200" s="474" t="s">
        <v>147</v>
      </c>
      <c r="C200" s="474"/>
      <c r="D200" s="25" t="s">
        <v>100</v>
      </c>
      <c r="E200" s="453">
        <v>0.2</v>
      </c>
      <c r="F200" s="453">
        <v>0.2</v>
      </c>
      <c r="G200" s="453">
        <v>0.2</v>
      </c>
      <c r="H200" s="453">
        <v>0.2</v>
      </c>
      <c r="I200" s="188"/>
      <c r="J200" s="453">
        <v>0.2</v>
      </c>
      <c r="K200" s="453">
        <v>0.2</v>
      </c>
      <c r="L200" s="453">
        <v>0.2</v>
      </c>
      <c r="M200" s="453">
        <v>0.2</v>
      </c>
      <c r="N200" s="453">
        <v>0.2</v>
      </c>
      <c r="O200" s="188"/>
      <c r="P200" s="453">
        <v>0.2</v>
      </c>
      <c r="Q200" s="453">
        <v>0.2</v>
      </c>
      <c r="R200" s="453">
        <v>0.2</v>
      </c>
      <c r="S200" s="453">
        <v>0.2</v>
      </c>
      <c r="T200" s="453">
        <v>0.2</v>
      </c>
      <c r="U200" s="188"/>
      <c r="V200" s="453">
        <v>0.2</v>
      </c>
      <c r="W200" s="453">
        <v>0.2</v>
      </c>
      <c r="X200" s="453">
        <v>0.2</v>
      </c>
      <c r="Y200" s="453">
        <v>0.2</v>
      </c>
      <c r="Z200" s="453">
        <v>0.2</v>
      </c>
      <c r="AA200" s="188"/>
      <c r="AB200" s="453">
        <v>0.2</v>
      </c>
      <c r="AC200" s="495">
        <v>0.2</v>
      </c>
      <c r="AD200" s="495">
        <v>0.2</v>
      </c>
      <c r="AE200" s="495">
        <v>0.2</v>
      </c>
      <c r="AF200" s="495">
        <v>0.2</v>
      </c>
      <c r="AG200" s="188"/>
      <c r="AH200" s="453">
        <v>0.2</v>
      </c>
    </row>
    <row r="201" spans="1:34" ht="23.4" customHeight="1" x14ac:dyDescent="0.2">
      <c r="A201" s="469"/>
      <c r="B201" s="474"/>
      <c r="C201" s="474"/>
      <c r="D201" s="46" t="s">
        <v>31</v>
      </c>
      <c r="E201" s="251"/>
      <c r="F201" s="251"/>
      <c r="G201" s="251"/>
      <c r="H201" s="251"/>
      <c r="I201" s="188"/>
      <c r="J201" s="251"/>
      <c r="K201" s="251"/>
      <c r="L201" s="251"/>
      <c r="M201" s="251"/>
      <c r="N201" s="251"/>
      <c r="O201" s="188"/>
      <c r="P201" s="251"/>
      <c r="Q201" s="251"/>
      <c r="R201" s="251"/>
      <c r="S201" s="251"/>
      <c r="T201" s="251"/>
      <c r="U201" s="188"/>
      <c r="V201" s="251"/>
      <c r="W201" s="251"/>
      <c r="X201" s="251"/>
      <c r="Y201" s="251"/>
      <c r="Z201" s="251"/>
      <c r="AA201" s="188"/>
      <c r="AB201" s="251"/>
      <c r="AC201" s="496"/>
      <c r="AD201" s="496"/>
      <c r="AE201" s="496"/>
      <c r="AF201" s="496"/>
      <c r="AG201" s="188"/>
      <c r="AH201" s="251"/>
    </row>
    <row r="202" spans="1:34" ht="15.6" customHeight="1" x14ac:dyDescent="0.2">
      <c r="A202" s="469"/>
      <c r="B202" s="465" t="s">
        <v>42</v>
      </c>
      <c r="C202" s="478" t="s">
        <v>26</v>
      </c>
      <c r="D202" s="273" t="s">
        <v>78</v>
      </c>
      <c r="E202" s="452">
        <v>1</v>
      </c>
      <c r="F202" s="452">
        <v>1</v>
      </c>
      <c r="G202" s="452">
        <v>1</v>
      </c>
      <c r="H202" s="452">
        <v>1</v>
      </c>
      <c r="I202" s="188"/>
      <c r="J202" s="452">
        <v>1</v>
      </c>
      <c r="K202" s="452">
        <v>1</v>
      </c>
      <c r="L202" s="452">
        <v>1</v>
      </c>
      <c r="M202" s="452">
        <v>1</v>
      </c>
      <c r="N202" s="452">
        <v>1</v>
      </c>
      <c r="O202" s="188"/>
      <c r="P202" s="452">
        <v>1</v>
      </c>
      <c r="Q202" s="452">
        <v>1</v>
      </c>
      <c r="R202" s="452">
        <v>1</v>
      </c>
      <c r="S202" s="452">
        <v>1</v>
      </c>
      <c r="T202" s="452">
        <v>1</v>
      </c>
      <c r="U202" s="188"/>
      <c r="V202" s="452">
        <v>1</v>
      </c>
      <c r="W202" s="452">
        <v>1</v>
      </c>
      <c r="X202" s="452">
        <v>1</v>
      </c>
      <c r="Y202" s="452">
        <v>1</v>
      </c>
      <c r="Z202" s="452">
        <v>1</v>
      </c>
      <c r="AA202" s="188"/>
      <c r="AB202" s="452">
        <v>1</v>
      </c>
      <c r="AC202" s="490">
        <v>1</v>
      </c>
      <c r="AD202" s="490">
        <v>1</v>
      </c>
      <c r="AE202" s="490">
        <v>1</v>
      </c>
      <c r="AF202" s="490">
        <v>1</v>
      </c>
      <c r="AG202" s="188"/>
      <c r="AH202" s="452">
        <v>1</v>
      </c>
    </row>
    <row r="203" spans="1:34" ht="15.6" customHeight="1" x14ac:dyDescent="0.2">
      <c r="A203" s="469"/>
      <c r="B203" s="465"/>
      <c r="C203" s="478"/>
      <c r="D203" s="273"/>
      <c r="E203" s="452"/>
      <c r="F203" s="452"/>
      <c r="G203" s="452"/>
      <c r="H203" s="452"/>
      <c r="I203" s="188"/>
      <c r="J203" s="452"/>
      <c r="K203" s="452"/>
      <c r="L203" s="452"/>
      <c r="M203" s="452"/>
      <c r="N203" s="452"/>
      <c r="O203" s="188"/>
      <c r="P203" s="452"/>
      <c r="Q203" s="452"/>
      <c r="R203" s="452"/>
      <c r="S203" s="452"/>
      <c r="T203" s="452"/>
      <c r="U203" s="188"/>
      <c r="V203" s="452"/>
      <c r="W203" s="452"/>
      <c r="X203" s="452"/>
      <c r="Y203" s="452"/>
      <c r="Z203" s="452"/>
      <c r="AA203" s="188"/>
      <c r="AB203" s="452"/>
      <c r="AC203" s="491"/>
      <c r="AD203" s="491"/>
      <c r="AE203" s="491"/>
      <c r="AF203" s="491"/>
      <c r="AG203" s="188"/>
      <c r="AH203" s="452"/>
    </row>
    <row r="204" spans="1:34" ht="15.6" customHeight="1" x14ac:dyDescent="0.2">
      <c r="A204" s="469"/>
      <c r="B204" s="465"/>
      <c r="C204" s="478" t="s">
        <v>7</v>
      </c>
      <c r="D204" s="273" t="s">
        <v>78</v>
      </c>
      <c r="E204" s="452">
        <v>1</v>
      </c>
      <c r="F204" s="452">
        <v>1</v>
      </c>
      <c r="G204" s="452">
        <v>1</v>
      </c>
      <c r="H204" s="452">
        <v>1</v>
      </c>
      <c r="I204" s="188"/>
      <c r="J204" s="452">
        <v>1</v>
      </c>
      <c r="K204" s="452">
        <v>1</v>
      </c>
      <c r="L204" s="452">
        <v>1</v>
      </c>
      <c r="M204" s="452">
        <v>1</v>
      </c>
      <c r="N204" s="452">
        <v>1</v>
      </c>
      <c r="O204" s="188"/>
      <c r="P204" s="452">
        <v>1</v>
      </c>
      <c r="Q204" s="452">
        <v>1</v>
      </c>
      <c r="R204" s="452">
        <v>1</v>
      </c>
      <c r="S204" s="452">
        <v>1</v>
      </c>
      <c r="T204" s="452">
        <v>1</v>
      </c>
      <c r="U204" s="188"/>
      <c r="V204" s="452">
        <v>1</v>
      </c>
      <c r="W204" s="452">
        <v>1</v>
      </c>
      <c r="X204" s="452">
        <v>1</v>
      </c>
      <c r="Y204" s="452">
        <v>1</v>
      </c>
      <c r="Z204" s="452">
        <v>1</v>
      </c>
      <c r="AA204" s="188"/>
      <c r="AB204" s="452">
        <v>1</v>
      </c>
      <c r="AC204" s="490">
        <v>1</v>
      </c>
      <c r="AD204" s="490">
        <v>1</v>
      </c>
      <c r="AE204" s="490">
        <v>1</v>
      </c>
      <c r="AF204" s="490">
        <v>1</v>
      </c>
      <c r="AG204" s="188"/>
      <c r="AH204" s="452">
        <v>1</v>
      </c>
    </row>
    <row r="205" spans="1:34" ht="15.6" customHeight="1" x14ac:dyDescent="0.2">
      <c r="A205" s="469"/>
      <c r="B205" s="465"/>
      <c r="C205" s="478"/>
      <c r="D205" s="273"/>
      <c r="E205" s="452"/>
      <c r="F205" s="452"/>
      <c r="G205" s="452"/>
      <c r="H205" s="452"/>
      <c r="I205" s="188"/>
      <c r="J205" s="452"/>
      <c r="K205" s="452"/>
      <c r="L205" s="452"/>
      <c r="M205" s="452"/>
      <c r="N205" s="452"/>
      <c r="O205" s="188"/>
      <c r="P205" s="452"/>
      <c r="Q205" s="452"/>
      <c r="R205" s="452"/>
      <c r="S205" s="452"/>
      <c r="T205" s="452"/>
      <c r="U205" s="188"/>
      <c r="V205" s="452"/>
      <c r="W205" s="452"/>
      <c r="X205" s="452"/>
      <c r="Y205" s="452"/>
      <c r="Z205" s="452"/>
      <c r="AA205" s="188"/>
      <c r="AB205" s="452"/>
      <c r="AC205" s="491"/>
      <c r="AD205" s="491"/>
      <c r="AE205" s="491"/>
      <c r="AF205" s="491"/>
      <c r="AG205" s="188"/>
      <c r="AH205" s="452"/>
    </row>
    <row r="206" spans="1:34" ht="15.6" customHeight="1" x14ac:dyDescent="0.2">
      <c r="A206" s="469"/>
      <c r="B206" s="465"/>
      <c r="C206" s="478" t="s">
        <v>8</v>
      </c>
      <c r="D206" s="273" t="s">
        <v>78</v>
      </c>
      <c r="E206" s="452">
        <v>1</v>
      </c>
      <c r="F206" s="452">
        <v>1</v>
      </c>
      <c r="G206" s="452">
        <v>1</v>
      </c>
      <c r="H206" s="452">
        <v>1</v>
      </c>
      <c r="I206" s="188"/>
      <c r="J206" s="452">
        <v>1</v>
      </c>
      <c r="K206" s="452">
        <v>1</v>
      </c>
      <c r="L206" s="452">
        <v>1</v>
      </c>
      <c r="M206" s="452">
        <v>1</v>
      </c>
      <c r="N206" s="452">
        <v>1</v>
      </c>
      <c r="O206" s="188"/>
      <c r="P206" s="452">
        <v>1</v>
      </c>
      <c r="Q206" s="452">
        <v>1</v>
      </c>
      <c r="R206" s="452">
        <v>1</v>
      </c>
      <c r="S206" s="452">
        <v>1</v>
      </c>
      <c r="T206" s="452">
        <v>1</v>
      </c>
      <c r="U206" s="188"/>
      <c r="V206" s="452">
        <v>1</v>
      </c>
      <c r="W206" s="452">
        <v>1</v>
      </c>
      <c r="X206" s="452">
        <v>1</v>
      </c>
      <c r="Y206" s="452">
        <v>1</v>
      </c>
      <c r="Z206" s="452">
        <v>1</v>
      </c>
      <c r="AA206" s="188"/>
      <c r="AB206" s="452">
        <v>1</v>
      </c>
      <c r="AC206" s="490">
        <v>1</v>
      </c>
      <c r="AD206" s="490">
        <v>1</v>
      </c>
      <c r="AE206" s="490">
        <v>1</v>
      </c>
      <c r="AF206" s="490">
        <v>1</v>
      </c>
      <c r="AG206" s="188"/>
      <c r="AH206" s="452">
        <v>1</v>
      </c>
    </row>
    <row r="207" spans="1:34" ht="15.6" customHeight="1" x14ac:dyDescent="0.2">
      <c r="A207" s="469"/>
      <c r="B207" s="465"/>
      <c r="C207" s="478"/>
      <c r="D207" s="273"/>
      <c r="E207" s="452"/>
      <c r="F207" s="452"/>
      <c r="G207" s="452"/>
      <c r="H207" s="452"/>
      <c r="I207" s="188"/>
      <c r="J207" s="452"/>
      <c r="K207" s="452"/>
      <c r="L207" s="452"/>
      <c r="M207" s="452"/>
      <c r="N207" s="452"/>
      <c r="O207" s="188"/>
      <c r="P207" s="452"/>
      <c r="Q207" s="452"/>
      <c r="R207" s="452"/>
      <c r="S207" s="452"/>
      <c r="T207" s="452"/>
      <c r="U207" s="188"/>
      <c r="V207" s="452"/>
      <c r="W207" s="452"/>
      <c r="X207" s="452"/>
      <c r="Y207" s="452"/>
      <c r="Z207" s="452"/>
      <c r="AA207" s="188"/>
      <c r="AB207" s="452"/>
      <c r="AC207" s="491"/>
      <c r="AD207" s="491"/>
      <c r="AE207" s="491"/>
      <c r="AF207" s="491"/>
      <c r="AG207" s="188"/>
      <c r="AH207" s="452"/>
    </row>
    <row r="208" spans="1:34" ht="38.4" customHeight="1" x14ac:dyDescent="0.2">
      <c r="A208" s="469"/>
      <c r="B208" s="468" t="s">
        <v>130</v>
      </c>
      <c r="C208" s="468"/>
      <c r="D208" s="273" t="s">
        <v>78</v>
      </c>
      <c r="E208" s="452">
        <v>0</v>
      </c>
      <c r="F208" s="452">
        <v>0</v>
      </c>
      <c r="G208" s="452">
        <v>0</v>
      </c>
      <c r="H208" s="452">
        <v>0</v>
      </c>
      <c r="I208" s="179"/>
      <c r="J208" s="452">
        <v>0</v>
      </c>
      <c r="K208" s="452">
        <v>0</v>
      </c>
      <c r="L208" s="452">
        <v>0</v>
      </c>
      <c r="M208" s="452">
        <v>0</v>
      </c>
      <c r="N208" s="452">
        <v>0</v>
      </c>
      <c r="O208" s="179"/>
      <c r="P208" s="452">
        <v>0</v>
      </c>
      <c r="Q208" s="452">
        <v>0</v>
      </c>
      <c r="R208" s="452">
        <v>0</v>
      </c>
      <c r="S208" s="452">
        <v>0</v>
      </c>
      <c r="T208" s="452">
        <v>0</v>
      </c>
      <c r="U208" s="179"/>
      <c r="V208" s="452">
        <v>0</v>
      </c>
      <c r="W208" s="452">
        <v>0</v>
      </c>
      <c r="X208" s="452">
        <v>0</v>
      </c>
      <c r="Y208" s="452">
        <v>0</v>
      </c>
      <c r="Z208" s="452">
        <v>0</v>
      </c>
      <c r="AA208" s="179"/>
      <c r="AB208" s="452">
        <v>0</v>
      </c>
      <c r="AC208" s="490">
        <v>0</v>
      </c>
      <c r="AD208" s="490">
        <v>0</v>
      </c>
      <c r="AE208" s="490">
        <v>0</v>
      </c>
      <c r="AF208" s="490">
        <v>0</v>
      </c>
      <c r="AG208" s="179"/>
      <c r="AH208" s="452">
        <v>0</v>
      </c>
    </row>
    <row r="209" spans="1:34" ht="10.8" customHeight="1" x14ac:dyDescent="0.2">
      <c r="A209" s="469"/>
      <c r="B209" s="468"/>
      <c r="C209" s="468"/>
      <c r="D209" s="273"/>
      <c r="E209" s="452"/>
      <c r="F209" s="452"/>
      <c r="G209" s="452"/>
      <c r="H209" s="452"/>
      <c r="I209" s="179"/>
      <c r="J209" s="452"/>
      <c r="K209" s="452"/>
      <c r="L209" s="452"/>
      <c r="M209" s="452"/>
      <c r="N209" s="452"/>
      <c r="O209" s="179"/>
      <c r="P209" s="452"/>
      <c r="Q209" s="452"/>
      <c r="R209" s="452"/>
      <c r="S209" s="452"/>
      <c r="T209" s="452"/>
      <c r="U209" s="179"/>
      <c r="V209" s="452"/>
      <c r="W209" s="452"/>
      <c r="X209" s="452"/>
      <c r="Y209" s="452"/>
      <c r="Z209" s="452"/>
      <c r="AA209" s="179"/>
      <c r="AB209" s="452"/>
      <c r="AC209" s="491"/>
      <c r="AD209" s="491"/>
      <c r="AE209" s="491"/>
      <c r="AF209" s="491"/>
      <c r="AG209" s="179"/>
      <c r="AH209" s="452"/>
    </row>
    <row r="210" spans="1:34" ht="18" customHeight="1" x14ac:dyDescent="0.2">
      <c r="A210" s="469"/>
      <c r="B210" s="465" t="s">
        <v>131</v>
      </c>
      <c r="C210" s="465"/>
      <c r="D210" s="273" t="s">
        <v>78</v>
      </c>
      <c r="E210" s="452">
        <v>1</v>
      </c>
      <c r="F210" s="452">
        <v>1</v>
      </c>
      <c r="G210" s="452">
        <v>1</v>
      </c>
      <c r="H210" s="452">
        <v>1</v>
      </c>
      <c r="I210" s="179"/>
      <c r="J210" s="452">
        <v>1</v>
      </c>
      <c r="K210" s="452">
        <v>1</v>
      </c>
      <c r="L210" s="452">
        <v>1</v>
      </c>
      <c r="M210" s="452">
        <v>1</v>
      </c>
      <c r="N210" s="452">
        <v>1</v>
      </c>
      <c r="O210" s="179"/>
      <c r="P210" s="452">
        <v>1</v>
      </c>
      <c r="Q210" s="452">
        <v>1</v>
      </c>
      <c r="R210" s="452">
        <v>1</v>
      </c>
      <c r="S210" s="452">
        <v>1</v>
      </c>
      <c r="T210" s="452">
        <v>1</v>
      </c>
      <c r="U210" s="179"/>
      <c r="V210" s="452">
        <v>1</v>
      </c>
      <c r="W210" s="452">
        <v>1</v>
      </c>
      <c r="X210" s="452">
        <v>1</v>
      </c>
      <c r="Y210" s="452">
        <v>1</v>
      </c>
      <c r="Z210" s="452">
        <v>1</v>
      </c>
      <c r="AA210" s="179"/>
      <c r="AB210" s="452">
        <v>1</v>
      </c>
      <c r="AC210" s="490">
        <v>1</v>
      </c>
      <c r="AD210" s="490">
        <v>1</v>
      </c>
      <c r="AE210" s="490">
        <v>1</v>
      </c>
      <c r="AF210" s="490">
        <v>1</v>
      </c>
      <c r="AG210" s="179"/>
      <c r="AH210" s="452">
        <v>1</v>
      </c>
    </row>
    <row r="211" spans="1:34" ht="21" customHeight="1" x14ac:dyDescent="0.2">
      <c r="A211" s="469"/>
      <c r="B211" s="465"/>
      <c r="C211" s="465"/>
      <c r="D211" s="273"/>
      <c r="E211" s="452"/>
      <c r="F211" s="452"/>
      <c r="G211" s="452"/>
      <c r="H211" s="452"/>
      <c r="I211" s="179"/>
      <c r="J211" s="452"/>
      <c r="K211" s="452"/>
      <c r="L211" s="452"/>
      <c r="M211" s="452"/>
      <c r="N211" s="452"/>
      <c r="O211" s="179"/>
      <c r="P211" s="452"/>
      <c r="Q211" s="452"/>
      <c r="R211" s="452"/>
      <c r="S211" s="452"/>
      <c r="T211" s="452"/>
      <c r="U211" s="179"/>
      <c r="V211" s="452"/>
      <c r="W211" s="452"/>
      <c r="X211" s="452"/>
      <c r="Y211" s="452"/>
      <c r="Z211" s="452"/>
      <c r="AA211" s="179"/>
      <c r="AB211" s="452"/>
      <c r="AC211" s="491"/>
      <c r="AD211" s="491"/>
      <c r="AE211" s="491"/>
      <c r="AF211" s="491"/>
      <c r="AG211" s="179"/>
      <c r="AH211" s="452"/>
    </row>
    <row r="212" spans="1:34" x14ac:dyDescent="0.2">
      <c r="A212" s="176">
        <v>2.2000000000000002</v>
      </c>
      <c r="B212" s="498" t="s">
        <v>33</v>
      </c>
      <c r="C212" s="499"/>
      <c r="D212" s="321"/>
      <c r="E212" s="321"/>
      <c r="F212" s="321"/>
      <c r="G212" s="321"/>
      <c r="H212" s="321"/>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2"/>
    </row>
    <row r="213" spans="1:34" ht="33.6" customHeight="1" x14ac:dyDescent="0.2">
      <c r="A213" s="469"/>
      <c r="B213" s="465" t="s">
        <v>43</v>
      </c>
      <c r="C213" s="465"/>
      <c r="D213" s="273" t="s">
        <v>78</v>
      </c>
      <c r="E213" s="452">
        <v>0</v>
      </c>
      <c r="F213" s="452">
        <v>0</v>
      </c>
      <c r="G213" s="452">
        <v>0</v>
      </c>
      <c r="H213" s="452">
        <v>0</v>
      </c>
      <c r="I213" s="452"/>
      <c r="J213" s="452">
        <f>2.193/10</f>
        <v>0.21929999999999999</v>
      </c>
      <c r="K213" s="452">
        <f>2.193/10</f>
        <v>0.21929999999999999</v>
      </c>
      <c r="L213" s="452">
        <f>2.193/10</f>
        <v>0.21929999999999999</v>
      </c>
      <c r="M213" s="452">
        <f>2.193/10</f>
        <v>0.21929999999999999</v>
      </c>
      <c r="N213" s="452">
        <f>2.193/10</f>
        <v>0.21929999999999999</v>
      </c>
      <c r="O213" s="179"/>
      <c r="P213" s="452">
        <f>2.193/10</f>
        <v>0.21929999999999999</v>
      </c>
      <c r="Q213" s="452">
        <f>2.193/10</f>
        <v>0.21929999999999999</v>
      </c>
      <c r="R213" s="452">
        <f>2.193/10</f>
        <v>0.21929999999999999</v>
      </c>
      <c r="S213" s="452">
        <f>2.193/10</f>
        <v>0.21929999999999999</v>
      </c>
      <c r="T213" s="452">
        <f>2.193/10</f>
        <v>0.21929999999999999</v>
      </c>
      <c r="U213" s="179"/>
      <c r="V213" s="452">
        <f>2.193/10</f>
        <v>0.21929999999999999</v>
      </c>
      <c r="W213" s="452">
        <f>2.193/10</f>
        <v>0.21929999999999999</v>
      </c>
      <c r="X213" s="452">
        <f>2.193/10</f>
        <v>0.21929999999999999</v>
      </c>
      <c r="Y213" s="452">
        <f>2.193/10</f>
        <v>0.21929999999999999</v>
      </c>
      <c r="Z213" s="452">
        <f>2.193/10</f>
        <v>0.21929999999999999</v>
      </c>
      <c r="AA213" s="179"/>
      <c r="AB213" s="452">
        <f>2.193/10</f>
        <v>0.21929999999999999</v>
      </c>
      <c r="AC213" s="452">
        <f>2.193/10</f>
        <v>0.21929999999999999</v>
      </c>
      <c r="AD213" s="452">
        <f>2.193/10</f>
        <v>0.21929999999999999</v>
      </c>
      <c r="AE213" s="452">
        <f>2.193/10</f>
        <v>0.21929999999999999</v>
      </c>
      <c r="AF213" s="452">
        <f>2.193/10</f>
        <v>0.21929999999999999</v>
      </c>
      <c r="AG213" s="179"/>
      <c r="AH213" s="452">
        <f>2.193/10</f>
        <v>0.21929999999999999</v>
      </c>
    </row>
    <row r="214" spans="1:34" ht="24" customHeight="1" x14ac:dyDescent="0.2">
      <c r="A214" s="469"/>
      <c r="B214" s="465"/>
      <c r="C214" s="465"/>
      <c r="D214" s="273"/>
      <c r="E214" s="452"/>
      <c r="F214" s="452"/>
      <c r="G214" s="452"/>
      <c r="H214" s="452"/>
      <c r="I214" s="452"/>
      <c r="J214" s="452"/>
      <c r="K214" s="452"/>
      <c r="L214" s="452"/>
      <c r="M214" s="452"/>
      <c r="N214" s="452"/>
      <c r="O214" s="179"/>
      <c r="P214" s="452"/>
      <c r="Q214" s="452"/>
      <c r="R214" s="452"/>
      <c r="S214" s="452"/>
      <c r="T214" s="452"/>
      <c r="U214" s="179"/>
      <c r="V214" s="452"/>
      <c r="W214" s="452"/>
      <c r="X214" s="452"/>
      <c r="Y214" s="452"/>
      <c r="Z214" s="452"/>
      <c r="AA214" s="179"/>
      <c r="AB214" s="452"/>
      <c r="AC214" s="452"/>
      <c r="AD214" s="452"/>
      <c r="AE214" s="452"/>
      <c r="AF214" s="452"/>
      <c r="AG214" s="179"/>
      <c r="AH214" s="452"/>
    </row>
    <row r="215" spans="1:34" ht="33.6" customHeight="1" x14ac:dyDescent="0.2">
      <c r="A215" s="469"/>
      <c r="B215" s="465" t="s">
        <v>44</v>
      </c>
      <c r="C215" s="465"/>
      <c r="D215" s="273" t="s">
        <v>78</v>
      </c>
      <c r="E215" s="452">
        <v>0</v>
      </c>
      <c r="F215" s="452">
        <v>0</v>
      </c>
      <c r="G215" s="452">
        <v>0</v>
      </c>
      <c r="H215" s="452">
        <v>0</v>
      </c>
      <c r="I215" s="179"/>
      <c r="J215" s="452">
        <v>0</v>
      </c>
      <c r="K215" s="452">
        <v>0</v>
      </c>
      <c r="L215" s="452">
        <v>0</v>
      </c>
      <c r="M215" s="452">
        <v>0</v>
      </c>
      <c r="N215" s="452">
        <v>1</v>
      </c>
      <c r="O215" s="179"/>
      <c r="P215" s="452">
        <v>1</v>
      </c>
      <c r="Q215" s="452">
        <v>1</v>
      </c>
      <c r="R215" s="452">
        <v>1</v>
      </c>
      <c r="S215" s="452">
        <v>1</v>
      </c>
      <c r="T215" s="452">
        <v>1</v>
      </c>
      <c r="U215" s="179"/>
      <c r="V215" s="452">
        <v>1</v>
      </c>
      <c r="W215" s="452">
        <v>1</v>
      </c>
      <c r="X215" s="452">
        <v>1</v>
      </c>
      <c r="Y215" s="452">
        <v>1</v>
      </c>
      <c r="Z215" s="452">
        <v>1</v>
      </c>
      <c r="AA215" s="179"/>
      <c r="AB215" s="452">
        <v>1</v>
      </c>
      <c r="AC215" s="452">
        <v>1</v>
      </c>
      <c r="AD215" s="452">
        <v>1</v>
      </c>
      <c r="AE215" s="452">
        <v>1</v>
      </c>
      <c r="AF215" s="452">
        <v>1</v>
      </c>
      <c r="AG215" s="179"/>
      <c r="AH215" s="452">
        <v>1</v>
      </c>
    </row>
    <row r="216" spans="1:34" ht="33.6" customHeight="1" x14ac:dyDescent="0.2">
      <c r="A216" s="469"/>
      <c r="B216" s="465"/>
      <c r="C216" s="465"/>
      <c r="D216" s="273"/>
      <c r="E216" s="452"/>
      <c r="F216" s="452"/>
      <c r="G216" s="452"/>
      <c r="H216" s="452"/>
      <c r="I216" s="179"/>
      <c r="J216" s="452"/>
      <c r="K216" s="452"/>
      <c r="L216" s="452"/>
      <c r="M216" s="452"/>
      <c r="N216" s="452"/>
      <c r="O216" s="179"/>
      <c r="P216" s="452"/>
      <c r="Q216" s="452"/>
      <c r="R216" s="452"/>
      <c r="S216" s="452"/>
      <c r="T216" s="452"/>
      <c r="U216" s="179"/>
      <c r="V216" s="452"/>
      <c r="W216" s="452"/>
      <c r="X216" s="452"/>
      <c r="Y216" s="452"/>
      <c r="Z216" s="452"/>
      <c r="AA216" s="179"/>
      <c r="AB216" s="452"/>
      <c r="AC216" s="452"/>
      <c r="AD216" s="452"/>
      <c r="AE216" s="452"/>
      <c r="AF216" s="452"/>
      <c r="AG216" s="179"/>
      <c r="AH216" s="452"/>
    </row>
    <row r="217" spans="1:34" ht="33.6" customHeight="1" x14ac:dyDescent="0.2">
      <c r="A217" s="469"/>
      <c r="B217" s="465" t="s">
        <v>153</v>
      </c>
      <c r="C217" s="465"/>
      <c r="D217" s="25" t="s">
        <v>100</v>
      </c>
      <c r="E217" s="453">
        <v>0</v>
      </c>
      <c r="F217" s="453">
        <v>0</v>
      </c>
      <c r="G217" s="453">
        <v>0</v>
      </c>
      <c r="H217" s="453">
        <v>0</v>
      </c>
      <c r="I217" s="188"/>
      <c r="J217" s="453">
        <v>0</v>
      </c>
      <c r="K217" s="453">
        <v>0</v>
      </c>
      <c r="L217" s="453">
        <v>0</v>
      </c>
      <c r="M217" s="453">
        <v>0</v>
      </c>
      <c r="N217" s="453">
        <v>0.3</v>
      </c>
      <c r="O217" s="188"/>
      <c r="P217" s="453">
        <v>0.3</v>
      </c>
      <c r="Q217" s="453">
        <v>0.3</v>
      </c>
      <c r="R217" s="453">
        <v>0.3</v>
      </c>
      <c r="S217" s="453">
        <v>0.3</v>
      </c>
      <c r="T217" s="453">
        <v>0.3</v>
      </c>
      <c r="U217" s="188"/>
      <c r="V217" s="453">
        <v>0.3</v>
      </c>
      <c r="W217" s="453">
        <v>0.3</v>
      </c>
      <c r="X217" s="453">
        <v>0.3</v>
      </c>
      <c r="Y217" s="453">
        <v>0.3</v>
      </c>
      <c r="Z217" s="453">
        <v>0.3</v>
      </c>
      <c r="AA217" s="188"/>
      <c r="AB217" s="453">
        <v>0.3</v>
      </c>
      <c r="AC217" s="453">
        <v>0.3</v>
      </c>
      <c r="AD217" s="453">
        <v>0.3</v>
      </c>
      <c r="AE217" s="453">
        <v>0.3</v>
      </c>
      <c r="AF217" s="453">
        <v>0.3</v>
      </c>
      <c r="AG217" s="188"/>
      <c r="AH217" s="453">
        <v>0.3</v>
      </c>
    </row>
    <row r="218" spans="1:34" ht="54" customHeight="1" x14ac:dyDescent="0.2">
      <c r="A218" s="469"/>
      <c r="B218" s="465"/>
      <c r="C218" s="465"/>
      <c r="D218" s="19" t="s">
        <v>31</v>
      </c>
      <c r="E218" s="251"/>
      <c r="F218" s="251"/>
      <c r="G218" s="251"/>
      <c r="H218" s="251"/>
      <c r="I218" s="188"/>
      <c r="J218" s="251"/>
      <c r="K218" s="251"/>
      <c r="L218" s="251"/>
      <c r="M218" s="251"/>
      <c r="N218" s="251"/>
      <c r="O218" s="188"/>
      <c r="P218" s="251"/>
      <c r="Q218" s="251"/>
      <c r="R218" s="251"/>
      <c r="S218" s="251"/>
      <c r="T218" s="251"/>
      <c r="U218" s="188"/>
      <c r="V218" s="251"/>
      <c r="W218" s="251"/>
      <c r="X218" s="251"/>
      <c r="Y218" s="251"/>
      <c r="Z218" s="251"/>
      <c r="AA218" s="188"/>
      <c r="AB218" s="251"/>
      <c r="AC218" s="251"/>
      <c r="AD218" s="251"/>
      <c r="AE218" s="251"/>
      <c r="AF218" s="251"/>
      <c r="AG218" s="188"/>
      <c r="AH218" s="251"/>
    </row>
    <row r="219" spans="1:34" x14ac:dyDescent="0.2">
      <c r="A219" s="181"/>
      <c r="B219" s="182"/>
      <c r="C219" s="182"/>
      <c r="D219" s="33"/>
      <c r="E219" s="199"/>
      <c r="F219" s="199"/>
      <c r="G219" s="199"/>
      <c r="H219" s="199"/>
      <c r="I219" s="200"/>
      <c r="J219" s="200"/>
      <c r="K219" s="199"/>
      <c r="L219" s="199"/>
      <c r="M219" s="199"/>
      <c r="N219" s="199"/>
      <c r="O219" s="200"/>
      <c r="P219" s="200"/>
      <c r="Q219" s="199"/>
      <c r="R219" s="199"/>
      <c r="S219" s="199"/>
      <c r="T219" s="199"/>
      <c r="U219" s="200"/>
      <c r="V219" s="200"/>
      <c r="W219" s="199"/>
      <c r="X219" s="199"/>
      <c r="Y219" s="199"/>
      <c r="Z219" s="199"/>
      <c r="AA219" s="200"/>
      <c r="AB219" s="200"/>
      <c r="AC219" s="199"/>
      <c r="AD219" s="199"/>
      <c r="AE219" s="199"/>
      <c r="AF219" s="199"/>
      <c r="AG219" s="200"/>
      <c r="AH219" s="200"/>
    </row>
    <row r="220" spans="1:34" x14ac:dyDescent="0.2">
      <c r="A220" s="176" t="s">
        <v>34</v>
      </c>
      <c r="B220" s="205"/>
      <c r="C220" s="205"/>
      <c r="D220" s="49"/>
      <c r="E220" s="200"/>
      <c r="F220" s="200"/>
      <c r="G220" s="202"/>
      <c r="H220" s="200"/>
      <c r="I220" s="200"/>
      <c r="J220" s="200"/>
      <c r="K220" s="200"/>
      <c r="L220" s="200"/>
      <c r="M220" s="202"/>
      <c r="N220" s="200"/>
      <c r="O220" s="200"/>
      <c r="P220" s="200"/>
      <c r="Q220" s="200"/>
      <c r="R220" s="200"/>
      <c r="S220" s="202"/>
      <c r="T220" s="200"/>
      <c r="U220" s="200"/>
      <c r="V220" s="200"/>
      <c r="W220" s="200"/>
      <c r="X220" s="200"/>
      <c r="Y220" s="202"/>
      <c r="Z220" s="200"/>
      <c r="AA220" s="200"/>
      <c r="AB220" s="200"/>
      <c r="AC220" s="200"/>
      <c r="AD220" s="200"/>
      <c r="AE220" s="202"/>
      <c r="AF220" s="200"/>
      <c r="AG220" s="200"/>
      <c r="AH220" s="200"/>
    </row>
    <row r="221" spans="1:34" x14ac:dyDescent="0.2">
      <c r="A221" s="176"/>
      <c r="B221" s="205"/>
      <c r="C221" s="205"/>
      <c r="D221" s="49"/>
      <c r="E221" s="200"/>
      <c r="F221" s="200"/>
      <c r="G221" s="200"/>
      <c r="H221" s="200"/>
      <c r="I221" s="179"/>
      <c r="J221" s="179"/>
      <c r="K221" s="200"/>
      <c r="L221" s="200"/>
      <c r="M221" s="200"/>
      <c r="N221" s="200"/>
      <c r="O221" s="179"/>
      <c r="P221" s="179"/>
      <c r="Q221" s="200"/>
      <c r="R221" s="200"/>
      <c r="S221" s="200"/>
      <c r="T221" s="200"/>
      <c r="U221" s="179"/>
      <c r="V221" s="179"/>
      <c r="W221" s="200"/>
      <c r="X221" s="200"/>
      <c r="Y221" s="200"/>
      <c r="Z221" s="200"/>
      <c r="AA221" s="179"/>
      <c r="AB221" s="179"/>
      <c r="AC221" s="200"/>
      <c r="AD221" s="200"/>
      <c r="AE221" s="200"/>
      <c r="AF221" s="200"/>
      <c r="AG221" s="179"/>
      <c r="AH221" s="179"/>
    </row>
    <row r="222" spans="1:34" x14ac:dyDescent="0.2">
      <c r="A222" s="470"/>
      <c r="B222" s="471" t="s">
        <v>38</v>
      </c>
      <c r="C222" s="470"/>
      <c r="D222" s="22"/>
      <c r="E222" s="504">
        <v>2026</v>
      </c>
      <c r="F222" s="302"/>
      <c r="G222" s="302"/>
      <c r="H222" s="303"/>
      <c r="I222" s="180" t="s">
        <v>5</v>
      </c>
      <c r="J222" s="180"/>
      <c r="K222" s="504">
        <v>2027</v>
      </c>
      <c r="L222" s="302"/>
      <c r="M222" s="302"/>
      <c r="N222" s="303"/>
      <c r="O222" s="180" t="s">
        <v>5</v>
      </c>
      <c r="P222" s="180"/>
      <c r="Q222" s="504">
        <v>2028</v>
      </c>
      <c r="R222" s="302"/>
      <c r="S222" s="302"/>
      <c r="T222" s="303"/>
      <c r="U222" s="180" t="s">
        <v>5</v>
      </c>
      <c r="V222" s="180"/>
      <c r="W222" s="504">
        <v>2029</v>
      </c>
      <c r="X222" s="302"/>
      <c r="Y222" s="302"/>
      <c r="Z222" s="303"/>
      <c r="AA222" s="180" t="s">
        <v>5</v>
      </c>
      <c r="AB222" s="180"/>
      <c r="AC222" s="504">
        <v>2030</v>
      </c>
      <c r="AD222" s="302"/>
      <c r="AE222" s="302"/>
      <c r="AF222" s="303"/>
      <c r="AG222" s="180" t="s">
        <v>5</v>
      </c>
      <c r="AH222" s="180"/>
    </row>
    <row r="223" spans="1:34" x14ac:dyDescent="0.2">
      <c r="A223" s="470"/>
      <c r="B223" s="471"/>
      <c r="C223" s="470"/>
      <c r="D223" s="40"/>
      <c r="E223" s="176" t="s">
        <v>1</v>
      </c>
      <c r="F223" s="176" t="s">
        <v>2</v>
      </c>
      <c r="G223" s="176" t="s">
        <v>3</v>
      </c>
      <c r="H223" s="176" t="s">
        <v>4</v>
      </c>
      <c r="I223" s="178">
        <v>9</v>
      </c>
      <c r="J223" s="178"/>
      <c r="K223" s="176" t="s">
        <v>1</v>
      </c>
      <c r="L223" s="176" t="s">
        <v>2</v>
      </c>
      <c r="M223" s="176" t="s">
        <v>3</v>
      </c>
      <c r="N223" s="176" t="s">
        <v>4</v>
      </c>
      <c r="O223" s="178">
        <v>9</v>
      </c>
      <c r="P223" s="178"/>
      <c r="Q223" s="176" t="s">
        <v>1</v>
      </c>
      <c r="R223" s="176" t="s">
        <v>2</v>
      </c>
      <c r="S223" s="176" t="s">
        <v>3</v>
      </c>
      <c r="T223" s="176" t="s">
        <v>4</v>
      </c>
      <c r="U223" s="178">
        <v>9</v>
      </c>
      <c r="V223" s="178"/>
      <c r="W223" s="176"/>
      <c r="X223" s="176"/>
      <c r="Y223" s="176" t="s">
        <v>3</v>
      </c>
      <c r="Z223" s="176" t="s">
        <v>4</v>
      </c>
      <c r="AA223" s="178">
        <v>9</v>
      </c>
      <c r="AB223" s="178"/>
      <c r="AC223" s="176" t="s">
        <v>1</v>
      </c>
      <c r="AD223" s="176" t="s">
        <v>2</v>
      </c>
      <c r="AE223" s="176" t="s">
        <v>3</v>
      </c>
      <c r="AF223" s="176" t="s">
        <v>4</v>
      </c>
      <c r="AG223" s="178">
        <v>9</v>
      </c>
      <c r="AH223" s="178"/>
    </row>
    <row r="224" spans="1:34" x14ac:dyDescent="0.2">
      <c r="A224" s="178">
        <v>0</v>
      </c>
      <c r="B224" s="178">
        <v>1</v>
      </c>
      <c r="C224" s="178">
        <v>2</v>
      </c>
      <c r="D224" s="22">
        <v>3</v>
      </c>
      <c r="E224" s="178" t="s">
        <v>113</v>
      </c>
      <c r="F224" s="178" t="s">
        <v>114</v>
      </c>
      <c r="G224" s="178" t="s">
        <v>115</v>
      </c>
      <c r="H224" s="178" t="s">
        <v>116</v>
      </c>
      <c r="I224" s="178"/>
      <c r="J224" s="178"/>
      <c r="K224" s="178" t="s">
        <v>113</v>
      </c>
      <c r="L224" s="178" t="s">
        <v>114</v>
      </c>
      <c r="M224" s="178" t="s">
        <v>115</v>
      </c>
      <c r="N224" s="178" t="s">
        <v>116</v>
      </c>
      <c r="O224" s="178"/>
      <c r="P224" s="178"/>
      <c r="Q224" s="178" t="s">
        <v>113</v>
      </c>
      <c r="R224" s="178" t="s">
        <v>114</v>
      </c>
      <c r="S224" s="178" t="s">
        <v>115</v>
      </c>
      <c r="T224" s="178" t="s">
        <v>116</v>
      </c>
      <c r="U224" s="178"/>
      <c r="V224" s="178"/>
      <c r="W224" s="178" t="s">
        <v>113</v>
      </c>
      <c r="X224" s="178" t="s">
        <v>114</v>
      </c>
      <c r="Y224" s="178" t="s">
        <v>115</v>
      </c>
      <c r="Z224" s="178" t="s">
        <v>116</v>
      </c>
      <c r="AA224" s="178"/>
      <c r="AB224" s="178"/>
      <c r="AC224" s="178" t="s">
        <v>113</v>
      </c>
      <c r="AD224" s="178" t="s">
        <v>114</v>
      </c>
      <c r="AE224" s="178" t="s">
        <v>115</v>
      </c>
      <c r="AF224" s="178" t="s">
        <v>116</v>
      </c>
      <c r="AG224" s="178"/>
      <c r="AH224" s="178"/>
    </row>
    <row r="225" spans="1:35" x14ac:dyDescent="0.2">
      <c r="A225" s="176">
        <v>3.1</v>
      </c>
      <c r="B225" s="463" t="s">
        <v>105</v>
      </c>
      <c r="C225" s="463"/>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5" x14ac:dyDescent="0.2">
      <c r="A226" s="469"/>
      <c r="B226" s="465" t="s">
        <v>45</v>
      </c>
      <c r="C226" s="465"/>
      <c r="D226" s="25" t="s">
        <v>101</v>
      </c>
      <c r="E226" s="181">
        <v>398</v>
      </c>
      <c r="F226" s="181">
        <v>399</v>
      </c>
      <c r="G226" s="181">
        <v>399</v>
      </c>
      <c r="H226" s="181">
        <v>399</v>
      </c>
      <c r="I226" s="192"/>
      <c r="J226" s="192">
        <v>399</v>
      </c>
      <c r="K226" s="181">
        <v>399</v>
      </c>
      <c r="L226" s="181">
        <v>400</v>
      </c>
      <c r="M226" s="181">
        <v>400</v>
      </c>
      <c r="N226" s="181">
        <v>400</v>
      </c>
      <c r="O226" s="192"/>
      <c r="P226" s="192">
        <v>400</v>
      </c>
      <c r="Q226" s="181">
        <v>401</v>
      </c>
      <c r="R226" s="181">
        <v>403</v>
      </c>
      <c r="S226" s="181">
        <v>404</v>
      </c>
      <c r="T226" s="181">
        <v>405</v>
      </c>
      <c r="U226" s="181"/>
      <c r="V226" s="192">
        <v>405</v>
      </c>
      <c r="W226" s="181">
        <v>406</v>
      </c>
      <c r="X226" s="181">
        <v>408</v>
      </c>
      <c r="Y226" s="181">
        <v>409</v>
      </c>
      <c r="Z226" s="181">
        <v>410</v>
      </c>
      <c r="AA226" s="192"/>
      <c r="AB226" s="203">
        <v>410</v>
      </c>
      <c r="AC226" s="181">
        <v>412</v>
      </c>
      <c r="AD226" s="181">
        <v>413</v>
      </c>
      <c r="AE226" s="181">
        <v>415</v>
      </c>
      <c r="AF226" s="181">
        <v>416</v>
      </c>
      <c r="AG226" s="192"/>
      <c r="AH226" s="203">
        <v>416</v>
      </c>
    </row>
    <row r="227" spans="1:35" x14ac:dyDescent="0.2">
      <c r="A227" s="469"/>
      <c r="B227" s="465"/>
      <c r="C227" s="465"/>
      <c r="D227" s="25" t="s">
        <v>32</v>
      </c>
      <c r="E227" s="188">
        <v>12.33</v>
      </c>
      <c r="F227" s="188">
        <v>12.33</v>
      </c>
      <c r="G227" s="188">
        <v>12.33</v>
      </c>
      <c r="H227" s="188">
        <v>12.33</v>
      </c>
      <c r="I227" s="188"/>
      <c r="J227" s="188">
        <v>12.33</v>
      </c>
      <c r="K227" s="188">
        <v>12.33</v>
      </c>
      <c r="L227" s="188">
        <v>12.33</v>
      </c>
      <c r="M227" s="188">
        <v>12.33</v>
      </c>
      <c r="N227" s="188">
        <v>12.33</v>
      </c>
      <c r="O227" s="188"/>
      <c r="P227" s="188">
        <v>12.33</v>
      </c>
      <c r="Q227" s="188">
        <v>12.33</v>
      </c>
      <c r="R227" s="188">
        <v>12.33</v>
      </c>
      <c r="S227" s="188">
        <v>12.33</v>
      </c>
      <c r="T227" s="188">
        <v>12.33</v>
      </c>
      <c r="U227" s="196"/>
      <c r="V227" s="188">
        <v>12.33</v>
      </c>
      <c r="W227" s="188">
        <v>12.33</v>
      </c>
      <c r="X227" s="188">
        <v>12.33</v>
      </c>
      <c r="Y227" s="188">
        <v>12.33</v>
      </c>
      <c r="Z227" s="188">
        <v>12.33</v>
      </c>
      <c r="AA227" s="188"/>
      <c r="AB227" s="188">
        <v>12.33</v>
      </c>
      <c r="AC227" s="188">
        <v>12.33</v>
      </c>
      <c r="AD227" s="188">
        <v>12.33</v>
      </c>
      <c r="AE227" s="188">
        <v>12.33</v>
      </c>
      <c r="AF227" s="188">
        <v>12.33</v>
      </c>
      <c r="AG227" s="188"/>
      <c r="AH227" s="188">
        <v>12.33</v>
      </c>
    </row>
    <row r="228" spans="1:35" x14ac:dyDescent="0.2">
      <c r="A228" s="469"/>
      <c r="B228" s="465" t="s">
        <v>46</v>
      </c>
      <c r="C228" s="465"/>
      <c r="D228" s="25" t="s">
        <v>32</v>
      </c>
      <c r="E228" s="188">
        <v>12.33</v>
      </c>
      <c r="F228" s="188">
        <v>12.33</v>
      </c>
      <c r="G228" s="188">
        <v>12.33</v>
      </c>
      <c r="H228" s="188">
        <v>12.33</v>
      </c>
      <c r="I228" s="188"/>
      <c r="J228" s="188">
        <v>12.33</v>
      </c>
      <c r="K228" s="188">
        <v>12.33</v>
      </c>
      <c r="L228" s="188">
        <v>12.33</v>
      </c>
      <c r="M228" s="188">
        <v>12.33</v>
      </c>
      <c r="N228" s="188">
        <v>12.33</v>
      </c>
      <c r="O228" s="188"/>
      <c r="P228" s="188">
        <v>12.33</v>
      </c>
      <c r="Q228" s="188">
        <v>12.33</v>
      </c>
      <c r="R228" s="188">
        <v>12.33</v>
      </c>
      <c r="S228" s="188">
        <v>12.33</v>
      </c>
      <c r="T228" s="188">
        <v>12.33</v>
      </c>
      <c r="U228" s="196"/>
      <c r="V228" s="188">
        <v>12.33</v>
      </c>
      <c r="W228" s="188">
        <v>12.33</v>
      </c>
      <c r="X228" s="188">
        <v>12.33</v>
      </c>
      <c r="Y228" s="188">
        <v>12.33</v>
      </c>
      <c r="Z228" s="188">
        <v>12.33</v>
      </c>
      <c r="AA228" s="188"/>
      <c r="AB228" s="188">
        <v>12.33</v>
      </c>
      <c r="AC228" s="188">
        <v>12.33</v>
      </c>
      <c r="AD228" s="188">
        <v>12.33</v>
      </c>
      <c r="AE228" s="188">
        <v>12.33</v>
      </c>
      <c r="AF228" s="188">
        <v>12.33</v>
      </c>
      <c r="AG228" s="188"/>
      <c r="AH228" s="188">
        <v>12.33</v>
      </c>
    </row>
    <row r="229" spans="1:35" ht="43.2" customHeight="1" x14ac:dyDescent="0.2">
      <c r="A229" s="469"/>
      <c r="B229" s="465"/>
      <c r="C229" s="465"/>
      <c r="D229" s="25" t="s">
        <v>143</v>
      </c>
      <c r="E229" s="198">
        <v>874.1</v>
      </c>
      <c r="F229" s="198">
        <v>902.6</v>
      </c>
      <c r="G229" s="198">
        <v>931.1</v>
      </c>
      <c r="H229" s="198">
        <v>959.6</v>
      </c>
      <c r="I229" s="192"/>
      <c r="J229" s="192">
        <v>959.6</v>
      </c>
      <c r="K229" s="198">
        <v>988.1</v>
      </c>
      <c r="L229" s="198">
        <v>1016.6</v>
      </c>
      <c r="M229" s="198">
        <v>1045.0999999999999</v>
      </c>
      <c r="N229" s="198">
        <v>1073.5999999999999</v>
      </c>
      <c r="O229" s="192"/>
      <c r="P229" s="192">
        <v>1073.5999999999999</v>
      </c>
      <c r="Q229" s="198">
        <v>1090.4000000000001</v>
      </c>
      <c r="R229" s="198">
        <v>1107.2</v>
      </c>
      <c r="S229" s="198">
        <v>1124</v>
      </c>
      <c r="T229" s="198">
        <v>1140.8</v>
      </c>
      <c r="U229" s="198"/>
      <c r="V229" s="192">
        <v>1140.8</v>
      </c>
      <c r="W229" s="181">
        <v>1171</v>
      </c>
      <c r="X229" s="181">
        <v>1200</v>
      </c>
      <c r="Y229" s="181">
        <v>1230</v>
      </c>
      <c r="Z229" s="181">
        <v>1260</v>
      </c>
      <c r="AA229" s="192"/>
      <c r="AB229" s="192">
        <v>1260</v>
      </c>
      <c r="AC229" s="198">
        <v>1292.875</v>
      </c>
      <c r="AD229" s="198">
        <v>1325.75</v>
      </c>
      <c r="AE229" s="198">
        <v>1358.625</v>
      </c>
      <c r="AF229" s="198">
        <v>1391.5</v>
      </c>
      <c r="AG229" s="192"/>
      <c r="AH229" s="192">
        <v>1391.5</v>
      </c>
    </row>
    <row r="230" spans="1:35" x14ac:dyDescent="0.2">
      <c r="A230" s="469"/>
      <c r="B230" s="465" t="s">
        <v>47</v>
      </c>
      <c r="C230" s="465"/>
      <c r="D230" s="25" t="s">
        <v>32</v>
      </c>
      <c r="E230" s="188">
        <v>12.33</v>
      </c>
      <c r="F230" s="188">
        <v>12.33</v>
      </c>
      <c r="G230" s="188">
        <v>12.33</v>
      </c>
      <c r="H230" s="188">
        <v>12.33</v>
      </c>
      <c r="I230" s="192"/>
      <c r="J230" s="188">
        <v>12.33</v>
      </c>
      <c r="K230" s="188">
        <v>12.33</v>
      </c>
      <c r="L230" s="188">
        <v>12.33</v>
      </c>
      <c r="M230" s="188">
        <v>12.33</v>
      </c>
      <c r="N230" s="188">
        <v>12.33</v>
      </c>
      <c r="O230" s="188"/>
      <c r="P230" s="188">
        <v>12.33</v>
      </c>
      <c r="Q230" s="188">
        <v>12.33</v>
      </c>
      <c r="R230" s="188">
        <v>12.33</v>
      </c>
      <c r="S230" s="188">
        <v>12.33</v>
      </c>
      <c r="T230" s="188">
        <v>12.33</v>
      </c>
      <c r="U230" s="196"/>
      <c r="V230" s="188">
        <v>12.33</v>
      </c>
      <c r="W230" s="188">
        <v>12.33</v>
      </c>
      <c r="X230" s="188">
        <v>12.33</v>
      </c>
      <c r="Y230" s="188">
        <v>12.33</v>
      </c>
      <c r="Z230" s="188">
        <v>12.33</v>
      </c>
      <c r="AA230" s="188"/>
      <c r="AB230" s="188">
        <v>12.33</v>
      </c>
      <c r="AC230" s="188">
        <v>12.33</v>
      </c>
      <c r="AD230" s="188">
        <v>12.33</v>
      </c>
      <c r="AE230" s="188">
        <v>12.33</v>
      </c>
      <c r="AF230" s="188">
        <v>12.33</v>
      </c>
      <c r="AG230" s="188"/>
      <c r="AH230" s="188">
        <v>12.33</v>
      </c>
    </row>
    <row r="231" spans="1:35" ht="40.799999999999997" customHeight="1" x14ac:dyDescent="0.2">
      <c r="A231" s="469"/>
      <c r="B231" s="465"/>
      <c r="C231" s="465"/>
      <c r="D231" s="25" t="s">
        <v>143</v>
      </c>
      <c r="E231" s="198">
        <v>874.1</v>
      </c>
      <c r="F231" s="198">
        <v>902.6</v>
      </c>
      <c r="G231" s="198">
        <v>931.1</v>
      </c>
      <c r="H231" s="198">
        <v>959.6</v>
      </c>
      <c r="I231" s="192"/>
      <c r="J231" s="192">
        <v>959.6</v>
      </c>
      <c r="K231" s="198">
        <v>988.1</v>
      </c>
      <c r="L231" s="198">
        <v>1016.6</v>
      </c>
      <c r="M231" s="198">
        <v>1045.0999999999999</v>
      </c>
      <c r="N231" s="198">
        <v>1073.5999999999999</v>
      </c>
      <c r="O231" s="192"/>
      <c r="P231" s="192">
        <v>1073.5999999999999</v>
      </c>
      <c r="Q231" s="198">
        <v>1090.4000000000001</v>
      </c>
      <c r="R231" s="198">
        <v>1107.2</v>
      </c>
      <c r="S231" s="198">
        <v>1124</v>
      </c>
      <c r="T231" s="198">
        <v>1140.8</v>
      </c>
      <c r="U231" s="198"/>
      <c r="V231" s="192">
        <v>1140.8</v>
      </c>
      <c r="W231" s="181">
        <v>1171</v>
      </c>
      <c r="X231" s="181">
        <v>1200</v>
      </c>
      <c r="Y231" s="181">
        <v>1230</v>
      </c>
      <c r="Z231" s="181">
        <v>1260</v>
      </c>
      <c r="AA231" s="192"/>
      <c r="AB231" s="192">
        <v>1260</v>
      </c>
      <c r="AC231" s="198">
        <v>1292.875</v>
      </c>
      <c r="AD231" s="198">
        <v>1325.75</v>
      </c>
      <c r="AE231" s="198">
        <v>1358.625</v>
      </c>
      <c r="AF231" s="198">
        <v>1391.5</v>
      </c>
      <c r="AG231" s="192"/>
      <c r="AH231" s="192">
        <v>1391.5</v>
      </c>
    </row>
    <row r="232" spans="1:35" x14ac:dyDescent="0.2">
      <c r="A232" s="469"/>
      <c r="B232" s="465" t="s">
        <v>36</v>
      </c>
      <c r="C232" s="465"/>
      <c r="D232" s="25" t="s">
        <v>144</v>
      </c>
      <c r="E232" s="181">
        <v>0</v>
      </c>
      <c r="F232" s="181">
        <v>0</v>
      </c>
      <c r="G232" s="181">
        <v>0</v>
      </c>
      <c r="H232" s="181">
        <v>0</v>
      </c>
      <c r="I232" s="192"/>
      <c r="J232" s="192">
        <v>0</v>
      </c>
      <c r="K232" s="181">
        <v>0</v>
      </c>
      <c r="L232" s="181">
        <v>0</v>
      </c>
      <c r="M232" s="181">
        <v>0</v>
      </c>
      <c r="N232" s="181">
        <v>399</v>
      </c>
      <c r="O232" s="192"/>
      <c r="P232" s="192">
        <v>399</v>
      </c>
      <c r="Q232" s="181">
        <v>400</v>
      </c>
      <c r="R232" s="181">
        <v>401</v>
      </c>
      <c r="S232" s="181">
        <v>402</v>
      </c>
      <c r="T232" s="181">
        <v>405</v>
      </c>
      <c r="U232" s="192"/>
      <c r="V232" s="192">
        <v>405</v>
      </c>
      <c r="W232" s="181">
        <v>406</v>
      </c>
      <c r="X232" s="181">
        <v>40</v>
      </c>
      <c r="Y232" s="181">
        <v>408</v>
      </c>
      <c r="Z232" s="181">
        <v>410</v>
      </c>
      <c r="AA232" s="192"/>
      <c r="AB232" s="192">
        <v>410</v>
      </c>
      <c r="AC232" s="181">
        <v>412</v>
      </c>
      <c r="AD232" s="181">
        <v>414</v>
      </c>
      <c r="AE232" s="181">
        <v>415</v>
      </c>
      <c r="AF232" s="181">
        <v>416</v>
      </c>
      <c r="AG232" s="192"/>
      <c r="AH232" s="192">
        <v>416</v>
      </c>
    </row>
    <row r="233" spans="1:35" x14ac:dyDescent="0.2">
      <c r="A233" s="469"/>
      <c r="B233" s="465"/>
      <c r="C233" s="465"/>
      <c r="D233" s="25" t="s">
        <v>32</v>
      </c>
      <c r="E233" s="181">
        <v>0</v>
      </c>
      <c r="F233" s="181">
        <v>0</v>
      </c>
      <c r="G233" s="181">
        <v>0</v>
      </c>
      <c r="H233" s="181">
        <v>0</v>
      </c>
      <c r="I233" s="192"/>
      <c r="J233" s="188">
        <v>0</v>
      </c>
      <c r="K233" s="181">
        <v>0</v>
      </c>
      <c r="L233" s="181">
        <v>0</v>
      </c>
      <c r="M233" s="181">
        <v>0</v>
      </c>
      <c r="N233" s="181">
        <v>2.19</v>
      </c>
      <c r="O233" s="192"/>
      <c r="P233" s="188">
        <v>2.1930000000000001</v>
      </c>
      <c r="Q233" s="188">
        <v>2.1930000000000001</v>
      </c>
      <c r="R233" s="188">
        <v>2.1930000000000001</v>
      </c>
      <c r="S233" s="188">
        <v>2.1930000000000001</v>
      </c>
      <c r="T233" s="188">
        <v>2.1930000000000001</v>
      </c>
      <c r="U233" s="192"/>
      <c r="V233" s="188">
        <v>2.1930000000000001</v>
      </c>
      <c r="W233" s="188">
        <v>2.1930000000000001</v>
      </c>
      <c r="X233" s="188">
        <v>2.1930000000000001</v>
      </c>
      <c r="Y233" s="188">
        <v>2.1930000000000001</v>
      </c>
      <c r="Z233" s="188">
        <v>2.1930000000000001</v>
      </c>
      <c r="AA233" s="192"/>
      <c r="AB233" s="188">
        <v>2.1930000000000001</v>
      </c>
      <c r="AC233" s="188">
        <v>2.1930000000000001</v>
      </c>
      <c r="AD233" s="188">
        <v>2.1930000000000001</v>
      </c>
      <c r="AE233" s="188">
        <v>2.1930000000000001</v>
      </c>
      <c r="AF233" s="188">
        <v>2.1930000000000001</v>
      </c>
      <c r="AG233" s="192"/>
      <c r="AH233" s="188">
        <v>2.1930000000000001</v>
      </c>
    </row>
    <row r="234" spans="1:35" x14ac:dyDescent="0.2">
      <c r="A234" s="469"/>
      <c r="B234" s="465" t="s">
        <v>48</v>
      </c>
      <c r="C234" s="465"/>
      <c r="D234" s="24" t="s">
        <v>143</v>
      </c>
      <c r="E234" s="179">
        <v>0</v>
      </c>
      <c r="F234" s="179">
        <v>0</v>
      </c>
      <c r="G234" s="179">
        <v>0</v>
      </c>
      <c r="H234" s="179">
        <v>0</v>
      </c>
      <c r="I234" s="192"/>
      <c r="J234" s="192">
        <v>960</v>
      </c>
      <c r="K234" s="179">
        <v>0</v>
      </c>
      <c r="L234" s="179">
        <v>0</v>
      </c>
      <c r="M234" s="179">
        <v>0</v>
      </c>
      <c r="N234" s="179">
        <v>1074</v>
      </c>
      <c r="O234" s="192"/>
      <c r="P234" s="192">
        <v>1073.5999999999999</v>
      </c>
      <c r="Q234" s="192">
        <v>1090.4000000000001</v>
      </c>
      <c r="R234" s="192">
        <v>1107.2</v>
      </c>
      <c r="S234" s="192">
        <v>1124</v>
      </c>
      <c r="T234" s="192">
        <v>1140.8</v>
      </c>
      <c r="U234" s="192"/>
      <c r="V234" s="192">
        <v>1140.8</v>
      </c>
      <c r="W234" s="192">
        <v>1171</v>
      </c>
      <c r="X234" s="192">
        <v>1200</v>
      </c>
      <c r="Y234" s="192">
        <v>1230</v>
      </c>
      <c r="Z234" s="192">
        <v>1260</v>
      </c>
      <c r="AA234" s="192"/>
      <c r="AB234" s="192">
        <v>1260</v>
      </c>
      <c r="AC234" s="192">
        <v>1292.875</v>
      </c>
      <c r="AD234" s="192">
        <v>1325.75</v>
      </c>
      <c r="AE234" s="192">
        <v>1358.625</v>
      </c>
      <c r="AF234" s="192">
        <v>1391.5</v>
      </c>
      <c r="AG234" s="192"/>
      <c r="AH234" s="192">
        <v>1391.5</v>
      </c>
      <c r="AI234" s="11">
        <f>AH234/AH235</f>
        <v>0.55000000000000004</v>
      </c>
    </row>
    <row r="235" spans="1:35" ht="28.8" customHeight="1" x14ac:dyDescent="0.2">
      <c r="A235" s="469"/>
      <c r="B235" s="465"/>
      <c r="C235" s="465"/>
      <c r="D235" s="24" t="s">
        <v>143</v>
      </c>
      <c r="E235" s="181">
        <v>2399</v>
      </c>
      <c r="F235" s="181">
        <v>2399</v>
      </c>
      <c r="G235" s="181">
        <v>2399</v>
      </c>
      <c r="H235" s="181">
        <v>2399</v>
      </c>
      <c r="I235" s="192"/>
      <c r="J235" s="192">
        <v>2399</v>
      </c>
      <c r="K235" s="181">
        <v>2440</v>
      </c>
      <c r="L235" s="181">
        <v>2440</v>
      </c>
      <c r="M235" s="181">
        <v>2440</v>
      </c>
      <c r="N235" s="181">
        <v>2440</v>
      </c>
      <c r="O235" s="192"/>
      <c r="P235" s="192">
        <v>2440</v>
      </c>
      <c r="Q235" s="181">
        <v>2480</v>
      </c>
      <c r="R235" s="181">
        <v>2480</v>
      </c>
      <c r="S235" s="181">
        <v>2480</v>
      </c>
      <c r="T235" s="181">
        <v>2480</v>
      </c>
      <c r="U235" s="192"/>
      <c r="V235" s="192">
        <v>2480</v>
      </c>
      <c r="W235" s="181">
        <v>2520</v>
      </c>
      <c r="X235" s="181">
        <v>2520</v>
      </c>
      <c r="Y235" s="181">
        <v>2520</v>
      </c>
      <c r="Z235" s="181">
        <v>2520</v>
      </c>
      <c r="AA235" s="192"/>
      <c r="AB235" s="192">
        <v>2520</v>
      </c>
      <c r="AC235" s="181">
        <v>2530</v>
      </c>
      <c r="AD235" s="181">
        <v>2530</v>
      </c>
      <c r="AE235" s="181">
        <v>2530</v>
      </c>
      <c r="AF235" s="181">
        <v>2530</v>
      </c>
      <c r="AG235" s="192"/>
      <c r="AH235" s="192">
        <v>2530</v>
      </c>
    </row>
    <row r="236" spans="1:35" x14ac:dyDescent="0.2">
      <c r="A236" s="176">
        <v>3.2</v>
      </c>
      <c r="B236" s="464" t="s">
        <v>37</v>
      </c>
      <c r="C236" s="464"/>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5" ht="19.8" customHeight="1" x14ac:dyDescent="0.2">
      <c r="A237" s="466"/>
      <c r="B237" s="465" t="s">
        <v>102</v>
      </c>
      <c r="C237" s="194"/>
      <c r="D237" s="273" t="s">
        <v>78</v>
      </c>
      <c r="E237" s="451">
        <v>0</v>
      </c>
      <c r="F237" s="451">
        <v>0</v>
      </c>
      <c r="G237" s="451">
        <v>0</v>
      </c>
      <c r="H237" s="451">
        <v>0</v>
      </c>
      <c r="I237" s="197"/>
      <c r="J237" s="451">
        <v>0</v>
      </c>
      <c r="K237" s="451">
        <v>0</v>
      </c>
      <c r="L237" s="451">
        <v>0</v>
      </c>
      <c r="M237" s="451">
        <v>0</v>
      </c>
      <c r="N237" s="451">
        <v>0</v>
      </c>
      <c r="O237" s="197"/>
      <c r="P237" s="451">
        <v>0</v>
      </c>
      <c r="Q237" s="451">
        <v>0</v>
      </c>
      <c r="R237" s="451">
        <v>0</v>
      </c>
      <c r="S237" s="451">
        <v>0</v>
      </c>
      <c r="T237" s="451">
        <v>0</v>
      </c>
      <c r="U237" s="197"/>
      <c r="V237" s="451">
        <v>0</v>
      </c>
      <c r="W237" s="451">
        <v>0</v>
      </c>
      <c r="X237" s="451">
        <v>0</v>
      </c>
      <c r="Y237" s="451">
        <v>0</v>
      </c>
      <c r="Z237" s="451">
        <v>0</v>
      </c>
      <c r="AA237" s="197"/>
      <c r="AB237" s="451">
        <v>0</v>
      </c>
      <c r="AC237" s="451">
        <v>0</v>
      </c>
      <c r="AD237" s="451">
        <v>0</v>
      </c>
      <c r="AE237" s="451">
        <v>0</v>
      </c>
      <c r="AF237" s="451">
        <v>0</v>
      </c>
      <c r="AG237" s="197"/>
      <c r="AH237" s="451">
        <v>0</v>
      </c>
    </row>
    <row r="238" spans="1:35" ht="19.8" customHeight="1" x14ac:dyDescent="0.2">
      <c r="A238" s="265"/>
      <c r="B238" s="285"/>
      <c r="C238" s="205" t="s">
        <v>26</v>
      </c>
      <c r="D238" s="273"/>
      <c r="E238" s="252"/>
      <c r="F238" s="252"/>
      <c r="G238" s="252"/>
      <c r="H238" s="252"/>
      <c r="I238" s="197"/>
      <c r="J238" s="252"/>
      <c r="K238" s="252"/>
      <c r="L238" s="252"/>
      <c r="M238" s="252"/>
      <c r="N238" s="252"/>
      <c r="O238" s="197"/>
      <c r="P238" s="252"/>
      <c r="Q238" s="252"/>
      <c r="R238" s="252"/>
      <c r="S238" s="252"/>
      <c r="T238" s="252"/>
      <c r="U238" s="197"/>
      <c r="V238" s="252"/>
      <c r="W238" s="252"/>
      <c r="X238" s="252"/>
      <c r="Y238" s="252"/>
      <c r="Z238" s="252"/>
      <c r="AA238" s="197"/>
      <c r="AB238" s="252"/>
      <c r="AC238" s="252"/>
      <c r="AD238" s="252"/>
      <c r="AE238" s="252"/>
      <c r="AF238" s="252"/>
      <c r="AG238" s="197"/>
      <c r="AH238" s="252"/>
    </row>
    <row r="239" spans="1:35" ht="19.8" customHeight="1" x14ac:dyDescent="0.2">
      <c r="A239" s="265"/>
      <c r="B239" s="285"/>
      <c r="C239" s="497" t="s">
        <v>7</v>
      </c>
      <c r="D239" s="273" t="s">
        <v>78</v>
      </c>
      <c r="E239" s="451">
        <v>0.01</v>
      </c>
      <c r="F239" s="451">
        <v>0.01</v>
      </c>
      <c r="G239" s="451">
        <v>0.01</v>
      </c>
      <c r="H239" s="451">
        <v>0.01</v>
      </c>
      <c r="I239" s="197"/>
      <c r="J239" s="451">
        <v>0.01</v>
      </c>
      <c r="K239" s="451">
        <v>0.01</v>
      </c>
      <c r="L239" s="451">
        <v>0.01</v>
      </c>
      <c r="M239" s="451">
        <v>0.01</v>
      </c>
      <c r="N239" s="451">
        <v>0.01</v>
      </c>
      <c r="O239" s="197"/>
      <c r="P239" s="451">
        <v>0.01</v>
      </c>
      <c r="Q239" s="451">
        <v>0.01</v>
      </c>
      <c r="R239" s="451">
        <v>0.01</v>
      </c>
      <c r="S239" s="451">
        <v>0.01</v>
      </c>
      <c r="T239" s="451">
        <v>0.01</v>
      </c>
      <c r="U239" s="197"/>
      <c r="V239" s="451">
        <v>0.01</v>
      </c>
      <c r="W239" s="451">
        <v>0.01</v>
      </c>
      <c r="X239" s="451">
        <v>0.01</v>
      </c>
      <c r="Y239" s="451">
        <v>0.01</v>
      </c>
      <c r="Z239" s="451">
        <v>0.01</v>
      </c>
      <c r="AA239" s="197"/>
      <c r="AB239" s="451">
        <v>0.01</v>
      </c>
      <c r="AC239" s="451">
        <v>0.01</v>
      </c>
      <c r="AD239" s="451">
        <v>0.01</v>
      </c>
      <c r="AE239" s="451">
        <v>0.01</v>
      </c>
      <c r="AF239" s="451">
        <v>0.01</v>
      </c>
      <c r="AG239" s="197"/>
      <c r="AH239" s="451">
        <v>0.01</v>
      </c>
    </row>
    <row r="240" spans="1:35" ht="19.8" customHeight="1" x14ac:dyDescent="0.2">
      <c r="A240" s="265"/>
      <c r="B240" s="285"/>
      <c r="C240" s="265"/>
      <c r="D240" s="273"/>
      <c r="E240" s="252"/>
      <c r="F240" s="252"/>
      <c r="G240" s="252"/>
      <c r="H240" s="252"/>
      <c r="I240" s="197"/>
      <c r="J240" s="252"/>
      <c r="K240" s="252"/>
      <c r="L240" s="252"/>
      <c r="M240" s="252"/>
      <c r="N240" s="252"/>
      <c r="O240" s="197"/>
      <c r="P240" s="252"/>
      <c r="Q240" s="252"/>
      <c r="R240" s="252"/>
      <c r="S240" s="252"/>
      <c r="T240" s="252"/>
      <c r="U240" s="197"/>
      <c r="V240" s="252"/>
      <c r="W240" s="252"/>
      <c r="X240" s="252"/>
      <c r="Y240" s="252"/>
      <c r="Z240" s="252"/>
      <c r="AA240" s="197"/>
      <c r="AB240" s="252"/>
      <c r="AC240" s="252"/>
      <c r="AD240" s="252"/>
      <c r="AE240" s="252"/>
      <c r="AF240" s="252"/>
      <c r="AG240" s="197"/>
      <c r="AH240" s="252"/>
    </row>
    <row r="241" spans="1:34" ht="19.8" customHeight="1" x14ac:dyDescent="0.2">
      <c r="A241" s="265"/>
      <c r="B241" s="285"/>
      <c r="C241" s="497" t="s">
        <v>8</v>
      </c>
      <c r="D241" s="273" t="s">
        <v>78</v>
      </c>
      <c r="E241" s="451">
        <v>0.01</v>
      </c>
      <c r="F241" s="451">
        <v>0.01</v>
      </c>
      <c r="G241" s="451">
        <v>0.01</v>
      </c>
      <c r="H241" s="451">
        <v>0.01</v>
      </c>
      <c r="I241" s="197"/>
      <c r="J241" s="451">
        <v>0.01</v>
      </c>
      <c r="K241" s="451">
        <v>0.01</v>
      </c>
      <c r="L241" s="451">
        <v>0.01</v>
      </c>
      <c r="M241" s="451">
        <v>0.01</v>
      </c>
      <c r="N241" s="451">
        <v>0.01</v>
      </c>
      <c r="O241" s="197"/>
      <c r="P241" s="451">
        <v>0.01</v>
      </c>
      <c r="Q241" s="451">
        <v>0.01</v>
      </c>
      <c r="R241" s="451">
        <v>0.01</v>
      </c>
      <c r="S241" s="451">
        <v>0.01</v>
      </c>
      <c r="T241" s="451">
        <v>0.01</v>
      </c>
      <c r="U241" s="197"/>
      <c r="V241" s="451">
        <v>0.01</v>
      </c>
      <c r="W241" s="451">
        <v>0.01</v>
      </c>
      <c r="X241" s="451">
        <v>0.01</v>
      </c>
      <c r="Y241" s="451">
        <v>0.01</v>
      </c>
      <c r="Z241" s="451">
        <v>0.01</v>
      </c>
      <c r="AA241" s="197"/>
      <c r="AB241" s="451">
        <v>0.01</v>
      </c>
      <c r="AC241" s="451">
        <v>0.01</v>
      </c>
      <c r="AD241" s="451">
        <v>0.01</v>
      </c>
      <c r="AE241" s="451">
        <v>0.01</v>
      </c>
      <c r="AF241" s="451">
        <v>0.01</v>
      </c>
      <c r="AG241" s="197"/>
      <c r="AH241" s="451">
        <v>0.01</v>
      </c>
    </row>
    <row r="242" spans="1:34" ht="19.8" customHeight="1" x14ac:dyDescent="0.2">
      <c r="A242" s="265"/>
      <c r="B242" s="285"/>
      <c r="C242" s="265"/>
      <c r="D242" s="273"/>
      <c r="E242" s="252"/>
      <c r="F242" s="252"/>
      <c r="G242" s="252"/>
      <c r="H242" s="252"/>
      <c r="I242" s="197"/>
      <c r="J242" s="252"/>
      <c r="K242" s="252"/>
      <c r="L242" s="252"/>
      <c r="M242" s="252"/>
      <c r="N242" s="252"/>
      <c r="O242" s="197"/>
      <c r="P242" s="252"/>
      <c r="Q242" s="252"/>
      <c r="R242" s="252"/>
      <c r="S242" s="252"/>
      <c r="T242" s="252"/>
      <c r="U242" s="197"/>
      <c r="V242" s="252"/>
      <c r="W242" s="252"/>
      <c r="X242" s="252"/>
      <c r="Y242" s="252"/>
      <c r="Z242" s="252"/>
      <c r="AA242" s="197"/>
      <c r="AB242" s="252"/>
      <c r="AC242" s="252"/>
      <c r="AD242" s="252"/>
      <c r="AE242" s="252"/>
      <c r="AF242" s="252"/>
      <c r="AG242" s="197"/>
      <c r="AH242" s="252"/>
    </row>
    <row r="243" spans="1:34" ht="26.4" customHeight="1" x14ac:dyDescent="0.2">
      <c r="A243" s="265"/>
      <c r="B243" s="468" t="s">
        <v>103</v>
      </c>
      <c r="C243" s="497" t="s">
        <v>26</v>
      </c>
      <c r="D243" s="273" t="s">
        <v>78</v>
      </c>
      <c r="E243" s="451">
        <v>0</v>
      </c>
      <c r="F243" s="451">
        <v>0</v>
      </c>
      <c r="G243" s="451">
        <v>0</v>
      </c>
      <c r="H243" s="451">
        <v>0</v>
      </c>
      <c r="I243" s="197"/>
      <c r="J243" s="451">
        <v>0</v>
      </c>
      <c r="K243" s="451">
        <v>0</v>
      </c>
      <c r="L243" s="451">
        <v>0</v>
      </c>
      <c r="M243" s="451">
        <v>0</v>
      </c>
      <c r="N243" s="451">
        <v>0</v>
      </c>
      <c r="O243" s="197"/>
      <c r="P243" s="451">
        <v>0</v>
      </c>
      <c r="Q243" s="451">
        <v>0</v>
      </c>
      <c r="R243" s="451">
        <v>0</v>
      </c>
      <c r="S243" s="451">
        <v>0</v>
      </c>
      <c r="T243" s="451">
        <v>0</v>
      </c>
      <c r="U243" s="197"/>
      <c r="V243" s="451">
        <v>0</v>
      </c>
      <c r="W243" s="451">
        <v>0</v>
      </c>
      <c r="X243" s="451">
        <v>0</v>
      </c>
      <c r="Y243" s="451">
        <v>0</v>
      </c>
      <c r="Z243" s="451">
        <v>0</v>
      </c>
      <c r="AA243" s="197"/>
      <c r="AB243" s="451">
        <v>0</v>
      </c>
      <c r="AC243" s="451">
        <v>0</v>
      </c>
      <c r="AD243" s="451">
        <v>0</v>
      </c>
      <c r="AE243" s="451">
        <v>0</v>
      </c>
      <c r="AF243" s="451">
        <v>0</v>
      </c>
      <c r="AG243" s="197"/>
      <c r="AH243" s="451">
        <v>0</v>
      </c>
    </row>
    <row r="244" spans="1:34" ht="24.6" customHeight="1" x14ac:dyDescent="0.2">
      <c r="A244" s="265"/>
      <c r="B244" s="468"/>
      <c r="C244" s="265"/>
      <c r="D244" s="273"/>
      <c r="E244" s="252"/>
      <c r="F244" s="252"/>
      <c r="G244" s="252"/>
      <c r="H244" s="252"/>
      <c r="I244" s="197"/>
      <c r="J244" s="252"/>
      <c r="K244" s="252"/>
      <c r="L244" s="252"/>
      <c r="M244" s="252"/>
      <c r="N244" s="252"/>
      <c r="O244" s="197"/>
      <c r="P244" s="252"/>
      <c r="Q244" s="252"/>
      <c r="R244" s="252"/>
      <c r="S244" s="252"/>
      <c r="T244" s="252"/>
      <c r="U244" s="197"/>
      <c r="V244" s="252"/>
      <c r="W244" s="252"/>
      <c r="X244" s="252"/>
      <c r="Y244" s="252"/>
      <c r="Z244" s="252"/>
      <c r="AA244" s="197"/>
      <c r="AB244" s="252"/>
      <c r="AC244" s="252"/>
      <c r="AD244" s="252"/>
      <c r="AE244" s="252"/>
      <c r="AF244" s="252"/>
      <c r="AG244" s="197"/>
      <c r="AH244" s="252"/>
    </row>
    <row r="245" spans="1:34" ht="15" customHeight="1" x14ac:dyDescent="0.2">
      <c r="A245" s="265"/>
      <c r="B245" s="468"/>
      <c r="C245" s="497" t="s">
        <v>7</v>
      </c>
      <c r="D245" s="273" t="s">
        <v>78</v>
      </c>
      <c r="E245" s="451">
        <v>0</v>
      </c>
      <c r="F245" s="451">
        <v>0</v>
      </c>
      <c r="G245" s="451">
        <v>0</v>
      </c>
      <c r="H245" s="451">
        <v>0</v>
      </c>
      <c r="I245" s="197"/>
      <c r="J245" s="451">
        <v>0</v>
      </c>
      <c r="K245" s="451">
        <v>0</v>
      </c>
      <c r="L245" s="451">
        <v>0</v>
      </c>
      <c r="M245" s="451">
        <v>0</v>
      </c>
      <c r="N245" s="451">
        <v>0</v>
      </c>
      <c r="O245" s="197"/>
      <c r="P245" s="451">
        <v>0</v>
      </c>
      <c r="Q245" s="451">
        <v>0</v>
      </c>
      <c r="R245" s="451">
        <v>0</v>
      </c>
      <c r="S245" s="451">
        <v>0</v>
      </c>
      <c r="T245" s="451">
        <v>0</v>
      </c>
      <c r="U245" s="197"/>
      <c r="V245" s="451">
        <v>0</v>
      </c>
      <c r="W245" s="451">
        <v>0</v>
      </c>
      <c r="X245" s="451">
        <v>0</v>
      </c>
      <c r="Y245" s="451">
        <v>0</v>
      </c>
      <c r="Z245" s="451">
        <v>0</v>
      </c>
      <c r="AA245" s="197"/>
      <c r="AB245" s="451">
        <v>0</v>
      </c>
      <c r="AC245" s="451">
        <v>0</v>
      </c>
      <c r="AD245" s="451">
        <v>0</v>
      </c>
      <c r="AE245" s="451">
        <v>0</v>
      </c>
      <c r="AF245" s="451">
        <v>0</v>
      </c>
      <c r="AG245" s="197"/>
      <c r="AH245" s="451">
        <v>0</v>
      </c>
    </row>
    <row r="246" spans="1:34" ht="18" customHeight="1" x14ac:dyDescent="0.2">
      <c r="A246" s="265"/>
      <c r="B246" s="468"/>
      <c r="C246" s="265"/>
      <c r="D246" s="273"/>
      <c r="E246" s="252"/>
      <c r="F246" s="252"/>
      <c r="G246" s="252"/>
      <c r="H246" s="252"/>
      <c r="I246" s="197"/>
      <c r="J246" s="252"/>
      <c r="K246" s="252"/>
      <c r="L246" s="252"/>
      <c r="M246" s="252"/>
      <c r="N246" s="252"/>
      <c r="O246" s="197"/>
      <c r="P246" s="252"/>
      <c r="Q246" s="252"/>
      <c r="R246" s="252"/>
      <c r="S246" s="252"/>
      <c r="T246" s="252"/>
      <c r="U246" s="197"/>
      <c r="V246" s="252"/>
      <c r="W246" s="252"/>
      <c r="X246" s="252"/>
      <c r="Y246" s="252"/>
      <c r="Z246" s="252"/>
      <c r="AA246" s="197"/>
      <c r="AB246" s="252"/>
      <c r="AC246" s="252"/>
      <c r="AD246" s="252"/>
      <c r="AE246" s="252"/>
      <c r="AF246" s="252"/>
      <c r="AG246" s="197"/>
      <c r="AH246" s="252"/>
    </row>
    <row r="247" spans="1:34" ht="9.6" customHeight="1" x14ac:dyDescent="0.2">
      <c r="A247" s="265"/>
      <c r="B247" s="468"/>
      <c r="C247" s="265" t="s">
        <v>8</v>
      </c>
      <c r="D247" s="273" t="s">
        <v>78</v>
      </c>
      <c r="E247" s="451">
        <v>0</v>
      </c>
      <c r="F247" s="451">
        <v>0</v>
      </c>
      <c r="G247" s="451">
        <v>0</v>
      </c>
      <c r="H247" s="451">
        <v>0</v>
      </c>
      <c r="I247" s="197"/>
      <c r="J247" s="451">
        <v>0</v>
      </c>
      <c r="K247" s="451">
        <v>0</v>
      </c>
      <c r="L247" s="451">
        <v>0</v>
      </c>
      <c r="M247" s="451">
        <v>0</v>
      </c>
      <c r="N247" s="451">
        <v>0</v>
      </c>
      <c r="O247" s="197"/>
      <c r="P247" s="451">
        <v>0</v>
      </c>
      <c r="Q247" s="451">
        <v>0</v>
      </c>
      <c r="R247" s="451">
        <v>0</v>
      </c>
      <c r="S247" s="451">
        <v>0</v>
      </c>
      <c r="T247" s="451">
        <v>0</v>
      </c>
      <c r="U247" s="197"/>
      <c r="V247" s="451">
        <v>0</v>
      </c>
      <c r="W247" s="451">
        <v>0</v>
      </c>
      <c r="X247" s="451">
        <v>0</v>
      </c>
      <c r="Y247" s="451">
        <v>0</v>
      </c>
      <c r="Z247" s="451">
        <v>0</v>
      </c>
      <c r="AA247" s="197"/>
      <c r="AB247" s="451">
        <v>0</v>
      </c>
      <c r="AC247" s="451">
        <v>0</v>
      </c>
      <c r="AD247" s="451">
        <v>0</v>
      </c>
      <c r="AE247" s="451">
        <v>0</v>
      </c>
      <c r="AF247" s="451">
        <v>0</v>
      </c>
      <c r="AG247" s="197"/>
      <c r="AH247" s="451">
        <v>0</v>
      </c>
    </row>
    <row r="248" spans="1:34" ht="19.8" customHeight="1" x14ac:dyDescent="0.2">
      <c r="A248" s="265"/>
      <c r="B248" s="468"/>
      <c r="C248" s="265"/>
      <c r="D248" s="273"/>
      <c r="E248" s="451"/>
      <c r="F248" s="451"/>
      <c r="G248" s="451"/>
      <c r="H248" s="451"/>
      <c r="I248" s="197"/>
      <c r="J248" s="451"/>
      <c r="K248" s="451"/>
      <c r="L248" s="451"/>
      <c r="M248" s="451"/>
      <c r="N248" s="451"/>
      <c r="O248" s="197"/>
      <c r="P248" s="451"/>
      <c r="Q248" s="451"/>
      <c r="R248" s="451"/>
      <c r="S248" s="451"/>
      <c r="T248" s="451"/>
      <c r="U248" s="197"/>
      <c r="V248" s="451"/>
      <c r="W248" s="451"/>
      <c r="X248" s="451"/>
      <c r="Y248" s="451"/>
      <c r="Z248" s="451"/>
      <c r="AA248" s="197"/>
      <c r="AB248" s="451"/>
      <c r="AC248" s="451"/>
      <c r="AD248" s="451"/>
      <c r="AE248" s="451"/>
      <c r="AF248" s="451"/>
      <c r="AG248" s="197"/>
      <c r="AH248" s="451"/>
    </row>
    <row r="249" spans="1:34" x14ac:dyDescent="0.2">
      <c r="A249" s="265"/>
      <c r="B249" s="465" t="s">
        <v>49</v>
      </c>
      <c r="C249" s="478" t="s">
        <v>26</v>
      </c>
      <c r="D249" s="273" t="s">
        <v>78</v>
      </c>
      <c r="E249" s="451">
        <v>0</v>
      </c>
      <c r="F249" s="451">
        <v>0</v>
      </c>
      <c r="G249" s="451">
        <v>0</v>
      </c>
      <c r="H249" s="451">
        <v>0</v>
      </c>
      <c r="I249" s="197"/>
      <c r="J249" s="451">
        <v>0</v>
      </c>
      <c r="K249" s="451">
        <v>0</v>
      </c>
      <c r="L249" s="451">
        <v>0</v>
      </c>
      <c r="M249" s="451">
        <v>0</v>
      </c>
      <c r="N249" s="451">
        <v>0</v>
      </c>
      <c r="O249" s="197"/>
      <c r="P249" s="451">
        <v>0</v>
      </c>
      <c r="Q249" s="451">
        <v>0</v>
      </c>
      <c r="R249" s="451">
        <v>0</v>
      </c>
      <c r="S249" s="451">
        <v>0</v>
      </c>
      <c r="T249" s="451">
        <v>0</v>
      </c>
      <c r="U249" s="197"/>
      <c r="V249" s="451">
        <v>0</v>
      </c>
      <c r="W249" s="451">
        <v>0</v>
      </c>
      <c r="X249" s="451">
        <v>0</v>
      </c>
      <c r="Y249" s="451">
        <v>0</v>
      </c>
      <c r="Z249" s="451">
        <v>0</v>
      </c>
      <c r="AA249" s="197"/>
      <c r="AB249" s="451">
        <v>0</v>
      </c>
      <c r="AC249" s="451">
        <v>0</v>
      </c>
      <c r="AD249" s="451">
        <v>0</v>
      </c>
      <c r="AE249" s="451">
        <v>0</v>
      </c>
      <c r="AF249" s="451">
        <v>0</v>
      </c>
      <c r="AG249" s="197"/>
      <c r="AH249" s="451">
        <v>0</v>
      </c>
    </row>
    <row r="250" spans="1:34" x14ac:dyDescent="0.2">
      <c r="A250" s="265"/>
      <c r="B250" s="465"/>
      <c r="C250" s="478"/>
      <c r="D250" s="273"/>
      <c r="E250" s="451"/>
      <c r="F250" s="451"/>
      <c r="G250" s="451"/>
      <c r="H250" s="451"/>
      <c r="I250" s="197"/>
      <c r="J250" s="451"/>
      <c r="K250" s="451"/>
      <c r="L250" s="451"/>
      <c r="M250" s="451"/>
      <c r="N250" s="451"/>
      <c r="O250" s="197"/>
      <c r="P250" s="451"/>
      <c r="Q250" s="451"/>
      <c r="R250" s="451"/>
      <c r="S250" s="451"/>
      <c r="T250" s="451"/>
      <c r="U250" s="197"/>
      <c r="V250" s="451"/>
      <c r="W250" s="451"/>
      <c r="X250" s="451"/>
      <c r="Y250" s="451"/>
      <c r="Z250" s="451"/>
      <c r="AA250" s="197"/>
      <c r="AB250" s="451"/>
      <c r="AC250" s="451"/>
      <c r="AD250" s="451"/>
      <c r="AE250" s="451"/>
      <c r="AF250" s="451"/>
      <c r="AG250" s="197"/>
      <c r="AH250" s="451"/>
    </row>
    <row r="251" spans="1:34" x14ac:dyDescent="0.2">
      <c r="A251" s="265"/>
      <c r="B251" s="465"/>
      <c r="C251" s="478" t="s">
        <v>7</v>
      </c>
      <c r="D251" s="273" t="s">
        <v>78</v>
      </c>
      <c r="E251" s="451">
        <v>0.02</v>
      </c>
      <c r="F251" s="451">
        <v>0.02</v>
      </c>
      <c r="G251" s="451">
        <v>0.02</v>
      </c>
      <c r="H251" s="451">
        <v>0.02</v>
      </c>
      <c r="I251" s="197"/>
      <c r="J251" s="451">
        <v>0.02</v>
      </c>
      <c r="K251" s="451">
        <v>0.02</v>
      </c>
      <c r="L251" s="451">
        <v>0.02</v>
      </c>
      <c r="M251" s="451">
        <v>0.02</v>
      </c>
      <c r="N251" s="451">
        <v>0.02</v>
      </c>
      <c r="O251" s="197"/>
      <c r="P251" s="451">
        <v>0.02</v>
      </c>
      <c r="Q251" s="451">
        <v>0.02</v>
      </c>
      <c r="R251" s="451">
        <v>0.02</v>
      </c>
      <c r="S251" s="451">
        <v>0.02</v>
      </c>
      <c r="T251" s="451">
        <v>0.02</v>
      </c>
      <c r="U251" s="197"/>
      <c r="V251" s="451">
        <v>0.02</v>
      </c>
      <c r="W251" s="451">
        <v>0.02</v>
      </c>
      <c r="X251" s="451">
        <v>0.02</v>
      </c>
      <c r="Y251" s="451">
        <v>0.02</v>
      </c>
      <c r="Z251" s="451">
        <v>0.02</v>
      </c>
      <c r="AA251" s="197"/>
      <c r="AB251" s="451">
        <v>0.02</v>
      </c>
      <c r="AC251" s="451">
        <v>0.02</v>
      </c>
      <c r="AD251" s="451">
        <v>0.02</v>
      </c>
      <c r="AE251" s="451">
        <v>0.02</v>
      </c>
      <c r="AF251" s="451">
        <v>0.02</v>
      </c>
      <c r="AG251" s="197"/>
      <c r="AH251" s="451">
        <v>0.02</v>
      </c>
    </row>
    <row r="252" spans="1:34" x14ac:dyDescent="0.2">
      <c r="A252" s="265"/>
      <c r="B252" s="465"/>
      <c r="C252" s="478"/>
      <c r="D252" s="273"/>
      <c r="E252" s="451"/>
      <c r="F252" s="451"/>
      <c r="G252" s="451"/>
      <c r="H252" s="451"/>
      <c r="I252" s="197"/>
      <c r="J252" s="451"/>
      <c r="K252" s="451"/>
      <c r="L252" s="451"/>
      <c r="M252" s="451"/>
      <c r="N252" s="451"/>
      <c r="O252" s="197"/>
      <c r="P252" s="451"/>
      <c r="Q252" s="451"/>
      <c r="R252" s="451"/>
      <c r="S252" s="451"/>
      <c r="T252" s="451"/>
      <c r="U252" s="197"/>
      <c r="V252" s="451"/>
      <c r="W252" s="451"/>
      <c r="X252" s="451"/>
      <c r="Y252" s="451"/>
      <c r="Z252" s="451"/>
      <c r="AA252" s="197"/>
      <c r="AB252" s="451"/>
      <c r="AC252" s="451"/>
      <c r="AD252" s="451"/>
      <c r="AE252" s="451"/>
      <c r="AF252" s="451"/>
      <c r="AG252" s="197"/>
      <c r="AH252" s="451"/>
    </row>
    <row r="253" spans="1:34" x14ac:dyDescent="0.2">
      <c r="A253" s="265"/>
      <c r="B253" s="465"/>
      <c r="C253" s="478" t="s">
        <v>8</v>
      </c>
      <c r="D253" s="273" t="s">
        <v>78</v>
      </c>
      <c r="E253" s="451">
        <v>0.04</v>
      </c>
      <c r="F253" s="451">
        <v>0.04</v>
      </c>
      <c r="G253" s="451">
        <v>0.04</v>
      </c>
      <c r="H253" s="451">
        <v>0.04</v>
      </c>
      <c r="I253" s="197"/>
      <c r="J253" s="451">
        <v>0.04</v>
      </c>
      <c r="K253" s="451">
        <v>0.04</v>
      </c>
      <c r="L253" s="451">
        <v>0.04</v>
      </c>
      <c r="M253" s="451">
        <v>0.04</v>
      </c>
      <c r="N253" s="451">
        <v>0.04</v>
      </c>
      <c r="O253" s="197"/>
      <c r="P253" s="451">
        <v>0.04</v>
      </c>
      <c r="Q253" s="451">
        <v>0.04</v>
      </c>
      <c r="R253" s="451">
        <v>0.04</v>
      </c>
      <c r="S253" s="451">
        <v>0.04</v>
      </c>
      <c r="T253" s="451">
        <v>0.04</v>
      </c>
      <c r="U253" s="197"/>
      <c r="V253" s="451">
        <v>0.04</v>
      </c>
      <c r="W253" s="451">
        <v>0.04</v>
      </c>
      <c r="X253" s="451">
        <v>0.04</v>
      </c>
      <c r="Y253" s="451">
        <v>0.04</v>
      </c>
      <c r="Z253" s="451">
        <v>0.04</v>
      </c>
      <c r="AA253" s="197"/>
      <c r="AB253" s="451">
        <v>0.04</v>
      </c>
      <c r="AC253" s="451">
        <v>0.04</v>
      </c>
      <c r="AD253" s="451">
        <v>0.04</v>
      </c>
      <c r="AE253" s="451">
        <v>0.04</v>
      </c>
      <c r="AF253" s="451">
        <v>0.04</v>
      </c>
      <c r="AG253" s="197"/>
      <c r="AH253" s="451">
        <v>0.04</v>
      </c>
    </row>
    <row r="254" spans="1:34" x14ac:dyDescent="0.2">
      <c r="A254" s="265"/>
      <c r="B254" s="465"/>
      <c r="C254" s="478"/>
      <c r="D254" s="273"/>
      <c r="E254" s="451"/>
      <c r="F254" s="451"/>
      <c r="G254" s="451"/>
      <c r="H254" s="451"/>
      <c r="I254" s="197"/>
      <c r="J254" s="451"/>
      <c r="K254" s="451"/>
      <c r="L254" s="451"/>
      <c r="M254" s="451"/>
      <c r="N254" s="451"/>
      <c r="O254" s="197"/>
      <c r="P254" s="451"/>
      <c r="Q254" s="451"/>
      <c r="R254" s="451"/>
      <c r="S254" s="451"/>
      <c r="T254" s="451"/>
      <c r="U254" s="197"/>
      <c r="V254" s="451"/>
      <c r="W254" s="451"/>
      <c r="X254" s="451"/>
      <c r="Y254" s="451"/>
      <c r="Z254" s="451"/>
      <c r="AA254" s="197"/>
      <c r="AB254" s="451"/>
      <c r="AC254" s="451"/>
      <c r="AD254" s="451"/>
      <c r="AE254" s="451"/>
      <c r="AF254" s="451"/>
      <c r="AG254" s="197"/>
      <c r="AH254" s="451"/>
    </row>
    <row r="256" spans="1:34" x14ac:dyDescent="0.2">
      <c r="D256" s="9"/>
    </row>
  </sheetData>
  <mergeCells count="2886">
    <mergeCell ref="B80:AH80"/>
    <mergeCell ref="AC222:AF222"/>
    <mergeCell ref="W222:Z222"/>
    <mergeCell ref="Q222:T222"/>
    <mergeCell ref="K222:N222"/>
    <mergeCell ref="E222:H222"/>
    <mergeCell ref="D179:D180"/>
    <mergeCell ref="J245:J246"/>
    <mergeCell ref="C202:C203"/>
    <mergeCell ref="J202:J203"/>
    <mergeCell ref="J241:J242"/>
    <mergeCell ref="J243:J244"/>
    <mergeCell ref="J239:J240"/>
    <mergeCell ref="B236:C236"/>
    <mergeCell ref="B234:C235"/>
    <mergeCell ref="D213:D214"/>
    <mergeCell ref="B210:C211"/>
    <mergeCell ref="D181:D182"/>
    <mergeCell ref="D183:D184"/>
    <mergeCell ref="D185:D186"/>
    <mergeCell ref="D206:D207"/>
    <mergeCell ref="D210:D211"/>
    <mergeCell ref="D202:D203"/>
    <mergeCell ref="D204:D205"/>
    <mergeCell ref="J169:J170"/>
    <mergeCell ref="J171:J172"/>
    <mergeCell ref="D169:D170"/>
    <mergeCell ref="D171:D172"/>
    <mergeCell ref="J185:J186"/>
    <mergeCell ref="D177:D178"/>
    <mergeCell ref="J181:J182"/>
    <mergeCell ref="J183:J184"/>
    <mergeCell ref="J179:J180"/>
    <mergeCell ref="D157:D158"/>
    <mergeCell ref="D159:D160"/>
    <mergeCell ref="J167:J168"/>
    <mergeCell ref="D167:D168"/>
    <mergeCell ref="J165:J166"/>
    <mergeCell ref="D165:D166"/>
    <mergeCell ref="J163:J164"/>
    <mergeCell ref="J161:J162"/>
    <mergeCell ref="E159:E160"/>
    <mergeCell ref="F159:F160"/>
    <mergeCell ref="J131:J132"/>
    <mergeCell ref="J133:J134"/>
    <mergeCell ref="J135:J136"/>
    <mergeCell ref="D131:D132"/>
    <mergeCell ref="J157:J158"/>
    <mergeCell ref="J159:J160"/>
    <mergeCell ref="J155:J156"/>
    <mergeCell ref="J148:J149"/>
    <mergeCell ref="J150:J151"/>
    <mergeCell ref="D148:D149"/>
    <mergeCell ref="G133:G134"/>
    <mergeCell ref="H133:H134"/>
    <mergeCell ref="E135:E136"/>
    <mergeCell ref="F135:F136"/>
    <mergeCell ref="G135:G136"/>
    <mergeCell ref="H135:H136"/>
    <mergeCell ref="G137:G138"/>
    <mergeCell ref="D127:D128"/>
    <mergeCell ref="J122:J123"/>
    <mergeCell ref="D122:D123"/>
    <mergeCell ref="D125:D126"/>
    <mergeCell ref="C122:C123"/>
    <mergeCell ref="J146:J147"/>
    <mergeCell ref="D146:D147"/>
    <mergeCell ref="J141:J142"/>
    <mergeCell ref="J137:J138"/>
    <mergeCell ref="J139:J140"/>
    <mergeCell ref="D110:D111"/>
    <mergeCell ref="J120:J121"/>
    <mergeCell ref="D120:D121"/>
    <mergeCell ref="J118:J119"/>
    <mergeCell ref="J116:J117"/>
    <mergeCell ref="J114:J115"/>
    <mergeCell ref="J112:J113"/>
    <mergeCell ref="D112:D113"/>
    <mergeCell ref="E110:E111"/>
    <mergeCell ref="F110:F111"/>
    <mergeCell ref="D137:D138"/>
    <mergeCell ref="D139:D140"/>
    <mergeCell ref="E137:E138"/>
    <mergeCell ref="F137:F138"/>
    <mergeCell ref="G110:G111"/>
    <mergeCell ref="H110:H111"/>
    <mergeCell ref="E112:E113"/>
    <mergeCell ref="F112:F113"/>
    <mergeCell ref="G112:G113"/>
    <mergeCell ref="H112:H113"/>
    <mergeCell ref="G114:G115"/>
    <mergeCell ref="H114:H115"/>
    <mergeCell ref="J93:J94"/>
    <mergeCell ref="J106:J107"/>
    <mergeCell ref="B108:C108"/>
    <mergeCell ref="J110:J111"/>
    <mergeCell ref="B102:B107"/>
    <mergeCell ref="J102:J103"/>
    <mergeCell ref="J104:J105"/>
    <mergeCell ref="D102:D103"/>
    <mergeCell ref="C104:C105"/>
    <mergeCell ref="D106:D107"/>
    <mergeCell ref="J87:J88"/>
    <mergeCell ref="J89:J90"/>
    <mergeCell ref="B81:C81"/>
    <mergeCell ref="J78:J79"/>
    <mergeCell ref="D78:D79"/>
    <mergeCell ref="D87:D88"/>
    <mergeCell ref="D89:D90"/>
    <mergeCell ref="B82:C82"/>
    <mergeCell ref="F78:F79"/>
    <mergeCell ref="G78:G79"/>
    <mergeCell ref="C93:C94"/>
    <mergeCell ref="C102:C103"/>
    <mergeCell ref="E85:E86"/>
    <mergeCell ref="F85:F86"/>
    <mergeCell ref="G85:G86"/>
    <mergeCell ref="H85:H86"/>
    <mergeCell ref="E87:E88"/>
    <mergeCell ref="F87:F88"/>
    <mergeCell ref="G87:G88"/>
    <mergeCell ref="H87:H88"/>
    <mergeCell ref="E89:E90"/>
    <mergeCell ref="F89:F90"/>
    <mergeCell ref="D71:D72"/>
    <mergeCell ref="D74:D75"/>
    <mergeCell ref="B71:C72"/>
    <mergeCell ref="D65:D66"/>
    <mergeCell ref="D67:D68"/>
    <mergeCell ref="D69:D70"/>
    <mergeCell ref="B65:C66"/>
    <mergeCell ref="D59:D60"/>
    <mergeCell ref="A52:A57"/>
    <mergeCell ref="D50:D51"/>
    <mergeCell ref="D48:D49"/>
    <mergeCell ref="C50:C51"/>
    <mergeCell ref="B52:B57"/>
    <mergeCell ref="C52:C53"/>
    <mergeCell ref="C54:C55"/>
    <mergeCell ref="D52:D53"/>
    <mergeCell ref="C56:C57"/>
    <mergeCell ref="A59:A72"/>
    <mergeCell ref="B59:C60"/>
    <mergeCell ref="B58:AH58"/>
    <mergeCell ref="B73:AH73"/>
    <mergeCell ref="D42:D43"/>
    <mergeCell ref="D46:D47"/>
    <mergeCell ref="A40:A51"/>
    <mergeCell ref="D37:D38"/>
    <mergeCell ref="D33:D34"/>
    <mergeCell ref="D35:D36"/>
    <mergeCell ref="B33:B38"/>
    <mergeCell ref="C33:C34"/>
    <mergeCell ref="C37:C38"/>
    <mergeCell ref="A15:A38"/>
    <mergeCell ref="D31:D32"/>
    <mergeCell ref="D27:D28"/>
    <mergeCell ref="D29:D30"/>
    <mergeCell ref="D25:D26"/>
    <mergeCell ref="D23:D24"/>
    <mergeCell ref="D21:D22"/>
    <mergeCell ref="D15:D16"/>
    <mergeCell ref="C31:C32"/>
    <mergeCell ref="B21:B26"/>
    <mergeCell ref="C21:C22"/>
    <mergeCell ref="C23:C24"/>
    <mergeCell ref="B39:AH39"/>
    <mergeCell ref="O15:O16"/>
    <mergeCell ref="C17:C18"/>
    <mergeCell ref="AE5:AE6"/>
    <mergeCell ref="B10:B12"/>
    <mergeCell ref="C10:C12"/>
    <mergeCell ref="E10:I10"/>
    <mergeCell ref="D17:D18"/>
    <mergeCell ref="E11:J11"/>
    <mergeCell ref="A8:V8"/>
    <mergeCell ref="Q10:V10"/>
    <mergeCell ref="AC10:AG10"/>
    <mergeCell ref="Q11:U11"/>
    <mergeCell ref="W11:AA11"/>
    <mergeCell ref="AC11:AG11"/>
    <mergeCell ref="K10:P10"/>
    <mergeCell ref="W10:AA10"/>
    <mergeCell ref="K11:O11"/>
    <mergeCell ref="B15:B20"/>
    <mergeCell ref="C15:C16"/>
    <mergeCell ref="I15:I16"/>
    <mergeCell ref="J15:J16"/>
    <mergeCell ref="Y15:Y16"/>
    <mergeCell ref="Z15:Z16"/>
    <mergeCell ref="AA15:AA16"/>
    <mergeCell ref="AC15:AC16"/>
    <mergeCell ref="AD15:AD16"/>
    <mergeCell ref="AE15:AE16"/>
    <mergeCell ref="AF15:AF16"/>
    <mergeCell ref="AG15:AG16"/>
    <mergeCell ref="E17:E18"/>
    <mergeCell ref="F17:F18"/>
    <mergeCell ref="G17:G18"/>
    <mergeCell ref="I21:I22"/>
    <mergeCell ref="J21:J22"/>
    <mergeCell ref="E21:E22"/>
    <mergeCell ref="V15:V16"/>
    <mergeCell ref="AB15:AB16"/>
    <mergeCell ref="AH15:AH16"/>
    <mergeCell ref="I17:I18"/>
    <mergeCell ref="J17:J18"/>
    <mergeCell ref="O17:O18"/>
    <mergeCell ref="P17:P18"/>
    <mergeCell ref="V17:V18"/>
    <mergeCell ref="AB17:AB18"/>
    <mergeCell ref="AH17:AH18"/>
    <mergeCell ref="C19:C20"/>
    <mergeCell ref="I19:I20"/>
    <mergeCell ref="J19:J20"/>
    <mergeCell ref="O19:O20"/>
    <mergeCell ref="P19:P20"/>
    <mergeCell ref="V19:V20"/>
    <mergeCell ref="AB19:AB20"/>
    <mergeCell ref="AH19:AH20"/>
    <mergeCell ref="D19:D20"/>
    <mergeCell ref="V21:V22"/>
    <mergeCell ref="AB21:AB22"/>
    <mergeCell ref="AH21:AH22"/>
    <mergeCell ref="R15:R16"/>
    <mergeCell ref="S15:S16"/>
    <mergeCell ref="T15:T16"/>
    <mergeCell ref="U15:U16"/>
    <mergeCell ref="P15:P16"/>
    <mergeCell ref="W15:W16"/>
    <mergeCell ref="X15:X16"/>
    <mergeCell ref="O23:O24"/>
    <mergeCell ref="P23:P24"/>
    <mergeCell ref="AB23:AB24"/>
    <mergeCell ref="AH23:AH24"/>
    <mergeCell ref="C25:C26"/>
    <mergeCell ref="I25:I26"/>
    <mergeCell ref="J25:J26"/>
    <mergeCell ref="O25:O26"/>
    <mergeCell ref="P25:P26"/>
    <mergeCell ref="V25:V26"/>
    <mergeCell ref="AB25:AB26"/>
    <mergeCell ref="AH25:AH26"/>
    <mergeCell ref="AB29:AB30"/>
    <mergeCell ref="B27:B32"/>
    <mergeCell ref="C27:C28"/>
    <mergeCell ref="I27:I28"/>
    <mergeCell ref="J27:J28"/>
    <mergeCell ref="O27:O28"/>
    <mergeCell ref="P27:P28"/>
    <mergeCell ref="I31:I32"/>
    <mergeCell ref="J31:J32"/>
    <mergeCell ref="AH31:AH32"/>
    <mergeCell ref="V27:V28"/>
    <mergeCell ref="AB27:AB28"/>
    <mergeCell ref="AH27:AH28"/>
    <mergeCell ref="C29:C30"/>
    <mergeCell ref="I29:I30"/>
    <mergeCell ref="J29:J30"/>
    <mergeCell ref="O29:O30"/>
    <mergeCell ref="P29:P30"/>
    <mergeCell ref="J33:J34"/>
    <mergeCell ref="O33:O34"/>
    <mergeCell ref="P33:P34"/>
    <mergeCell ref="V33:V34"/>
    <mergeCell ref="AB33:AB34"/>
    <mergeCell ref="AH29:AH30"/>
    <mergeCell ref="O31:O32"/>
    <mergeCell ref="P31:P32"/>
    <mergeCell ref="V31:V32"/>
    <mergeCell ref="AB31:AB32"/>
    <mergeCell ref="AH33:AH34"/>
    <mergeCell ref="C35:C36"/>
    <mergeCell ref="I35:I36"/>
    <mergeCell ref="J35:J36"/>
    <mergeCell ref="O35:O36"/>
    <mergeCell ref="P35:P36"/>
    <mergeCell ref="V35:V36"/>
    <mergeCell ref="AB35:AB36"/>
    <mergeCell ref="AH35:AH36"/>
    <mergeCell ref="I33:I34"/>
    <mergeCell ref="E29:E30"/>
    <mergeCell ref="F29:F30"/>
    <mergeCell ref="G29:G30"/>
    <mergeCell ref="H29:H30"/>
    <mergeCell ref="K29:K30"/>
    <mergeCell ref="L29:L30"/>
    <mergeCell ref="M29:M30"/>
    <mergeCell ref="N29:N30"/>
    <mergeCell ref="Q29:Q30"/>
    <mergeCell ref="R29:R30"/>
    <mergeCell ref="S29:S30"/>
    <mergeCell ref="J37:J38"/>
    <mergeCell ref="P37:P38"/>
    <mergeCell ref="V37:V38"/>
    <mergeCell ref="O37:O38"/>
    <mergeCell ref="AB37:AB38"/>
    <mergeCell ref="AH37:AH38"/>
    <mergeCell ref="K37:K38"/>
    <mergeCell ref="L37:L38"/>
    <mergeCell ref="M37:M38"/>
    <mergeCell ref="N37:N38"/>
    <mergeCell ref="B40:B45"/>
    <mergeCell ref="C40:C41"/>
    <mergeCell ref="I40:I41"/>
    <mergeCell ref="J40:J41"/>
    <mergeCell ref="P40:P41"/>
    <mergeCell ref="V40:V41"/>
    <mergeCell ref="C44:C45"/>
    <mergeCell ref="I44:I45"/>
    <mergeCell ref="J44:J45"/>
    <mergeCell ref="P44:P45"/>
    <mergeCell ref="AB40:AB41"/>
    <mergeCell ref="AH40:AH41"/>
    <mergeCell ref="C42:C43"/>
    <mergeCell ref="I42:I43"/>
    <mergeCell ref="J42:J43"/>
    <mergeCell ref="P42:P43"/>
    <mergeCell ref="V42:V43"/>
    <mergeCell ref="AB42:AB43"/>
    <mergeCell ref="AH42:AH43"/>
    <mergeCell ref="D40:D41"/>
    <mergeCell ref="V44:V45"/>
    <mergeCell ref="D44:D45"/>
    <mergeCell ref="AH44:AH45"/>
    <mergeCell ref="B46:B51"/>
    <mergeCell ref="C46:C47"/>
    <mergeCell ref="I46:I47"/>
    <mergeCell ref="J46:J47"/>
    <mergeCell ref="P46:P47"/>
    <mergeCell ref="V46:V47"/>
    <mergeCell ref="AB46:AB47"/>
    <mergeCell ref="AH46:AH47"/>
    <mergeCell ref="C48:C49"/>
    <mergeCell ref="I48:I49"/>
    <mergeCell ref="J48:J49"/>
    <mergeCell ref="P48:P49"/>
    <mergeCell ref="V48:V49"/>
    <mergeCell ref="AB48:AB49"/>
    <mergeCell ref="AH48:AH49"/>
    <mergeCell ref="E46:E47"/>
    <mergeCell ref="I50:I51"/>
    <mergeCell ref="J50:J51"/>
    <mergeCell ref="P50:P51"/>
    <mergeCell ref="V50:V51"/>
    <mergeCell ref="AB50:AB51"/>
    <mergeCell ref="AH50:AH51"/>
    <mergeCell ref="K50:K51"/>
    <mergeCell ref="L50:L51"/>
    <mergeCell ref="M50:M51"/>
    <mergeCell ref="N50:N51"/>
    <mergeCell ref="E48:E49"/>
    <mergeCell ref="F48:F49"/>
    <mergeCell ref="G48:G49"/>
    <mergeCell ref="H48:H49"/>
    <mergeCell ref="V54:V55"/>
    <mergeCell ref="AB54:AB55"/>
    <mergeCell ref="AH54:AH55"/>
    <mergeCell ref="I52:I53"/>
    <mergeCell ref="J52:J53"/>
    <mergeCell ref="P52:P53"/>
    <mergeCell ref="V52:V53"/>
    <mergeCell ref="AB52:AB53"/>
    <mergeCell ref="AH52:AH53"/>
    <mergeCell ref="K52:K53"/>
    <mergeCell ref="D56:D57"/>
    <mergeCell ref="I56:I57"/>
    <mergeCell ref="J56:J57"/>
    <mergeCell ref="P56:P57"/>
    <mergeCell ref="I54:I55"/>
    <mergeCell ref="J54:J55"/>
    <mergeCell ref="P54:P55"/>
    <mergeCell ref="D54:D55"/>
    <mergeCell ref="E54:E55"/>
    <mergeCell ref="F54:F55"/>
    <mergeCell ref="V56:V57"/>
    <mergeCell ref="AB56:AB57"/>
    <mergeCell ref="AH56:AH57"/>
    <mergeCell ref="M52:M53"/>
    <mergeCell ref="N52:N53"/>
    <mergeCell ref="K54:K55"/>
    <mergeCell ref="L54:L55"/>
    <mergeCell ref="M54:M55"/>
    <mergeCell ref="N54:N55"/>
    <mergeCell ref="K56:K57"/>
    <mergeCell ref="L56:L57"/>
    <mergeCell ref="M56:M57"/>
    <mergeCell ref="I59:I60"/>
    <mergeCell ref="J59:J60"/>
    <mergeCell ref="P59:P60"/>
    <mergeCell ref="V59:V60"/>
    <mergeCell ref="AB59:AB60"/>
    <mergeCell ref="AH59:AH60"/>
    <mergeCell ref="B61:C62"/>
    <mergeCell ref="J61:J62"/>
    <mergeCell ref="P61:P62"/>
    <mergeCell ref="V61:V62"/>
    <mergeCell ref="AB61:AB62"/>
    <mergeCell ref="AH61:AH62"/>
    <mergeCell ref="D61:D62"/>
    <mergeCell ref="I61:I62"/>
    <mergeCell ref="E61:E62"/>
    <mergeCell ref="B63:C64"/>
    <mergeCell ref="J63:J64"/>
    <mergeCell ref="P63:P64"/>
    <mergeCell ref="V63:V64"/>
    <mergeCell ref="AB63:AB64"/>
    <mergeCell ref="AH63:AH64"/>
    <mergeCell ref="D63:D64"/>
    <mergeCell ref="Q63:Q64"/>
    <mergeCell ref="R63:R64"/>
    <mergeCell ref="S63:S64"/>
    <mergeCell ref="F61:F62"/>
    <mergeCell ref="G61:G62"/>
    <mergeCell ref="H61:H62"/>
    <mergeCell ref="E63:E64"/>
    <mergeCell ref="F63:F64"/>
    <mergeCell ref="G63:G64"/>
    <mergeCell ref="H63:H64"/>
    <mergeCell ref="J65:J66"/>
    <mergeCell ref="P65:P66"/>
    <mergeCell ref="V65:V66"/>
    <mergeCell ref="AB65:AB66"/>
    <mergeCell ref="AH65:AH66"/>
    <mergeCell ref="B67:C68"/>
    <mergeCell ref="J67:J68"/>
    <mergeCell ref="P67:P68"/>
    <mergeCell ref="V67:V68"/>
    <mergeCell ref="AB67:AB68"/>
    <mergeCell ref="AH67:AH68"/>
    <mergeCell ref="B69:C70"/>
    <mergeCell ref="J69:J70"/>
    <mergeCell ref="P69:P70"/>
    <mergeCell ref="V69:V70"/>
    <mergeCell ref="AB69:AB70"/>
    <mergeCell ref="AH69:AH70"/>
    <mergeCell ref="E69:E70"/>
    <mergeCell ref="F69:F70"/>
    <mergeCell ref="G69:G70"/>
    <mergeCell ref="G65:G66"/>
    <mergeCell ref="H65:H66"/>
    <mergeCell ref="E67:E68"/>
    <mergeCell ref="F67:F68"/>
    <mergeCell ref="G67:G68"/>
    <mergeCell ref="H67:H68"/>
    <mergeCell ref="H69:H70"/>
    <mergeCell ref="K65:K66"/>
    <mergeCell ref="K69:K70"/>
    <mergeCell ref="E65:E66"/>
    <mergeCell ref="F65:F66"/>
    <mergeCell ref="J71:J72"/>
    <mergeCell ref="P71:P72"/>
    <mergeCell ref="V71:V72"/>
    <mergeCell ref="AB71:AB72"/>
    <mergeCell ref="AH71:AH72"/>
    <mergeCell ref="A74:A79"/>
    <mergeCell ref="B74:C75"/>
    <mergeCell ref="J74:J75"/>
    <mergeCell ref="P74:P75"/>
    <mergeCell ref="V74:V75"/>
    <mergeCell ref="AB74:AB75"/>
    <mergeCell ref="AH74:AH75"/>
    <mergeCell ref="B76:C76"/>
    <mergeCell ref="B77:C77"/>
    <mergeCell ref="B78:C79"/>
    <mergeCell ref="P78:P79"/>
    <mergeCell ref="V78:V79"/>
    <mergeCell ref="AB78:AB79"/>
    <mergeCell ref="AH78:AH79"/>
    <mergeCell ref="E78:E79"/>
    <mergeCell ref="E71:E72"/>
    <mergeCell ref="F71:F72"/>
    <mergeCell ref="G71:G72"/>
    <mergeCell ref="H71:H72"/>
    <mergeCell ref="K71:K72"/>
    <mergeCell ref="L71:L72"/>
    <mergeCell ref="M71:M72"/>
    <mergeCell ref="N71:N72"/>
    <mergeCell ref="Q71:Q72"/>
    <mergeCell ref="R71:R72"/>
    <mergeCell ref="S71:S72"/>
    <mergeCell ref="T71:T72"/>
    <mergeCell ref="A82:A107"/>
    <mergeCell ref="B83:B88"/>
    <mergeCell ref="C83:C84"/>
    <mergeCell ref="P83:P84"/>
    <mergeCell ref="V83:V84"/>
    <mergeCell ref="J83:J84"/>
    <mergeCell ref="C87:C88"/>
    <mergeCell ref="P87:P88"/>
    <mergeCell ref="V87:V88"/>
    <mergeCell ref="V91:V92"/>
    <mergeCell ref="AB83:AB84"/>
    <mergeCell ref="AH83:AH84"/>
    <mergeCell ref="C85:C86"/>
    <mergeCell ref="P85:P86"/>
    <mergeCell ref="V85:V86"/>
    <mergeCell ref="AB85:AB86"/>
    <mergeCell ref="AH85:AH86"/>
    <mergeCell ref="D83:D84"/>
    <mergeCell ref="D85:D86"/>
    <mergeCell ref="J85:J86"/>
    <mergeCell ref="AB87:AB88"/>
    <mergeCell ref="AH87:AH88"/>
    <mergeCell ref="B89:B94"/>
    <mergeCell ref="C89:C90"/>
    <mergeCell ref="P89:P90"/>
    <mergeCell ref="V89:V90"/>
    <mergeCell ref="AB89:AB90"/>
    <mergeCell ref="AH89:AH90"/>
    <mergeCell ref="C91:C92"/>
    <mergeCell ref="P91:P92"/>
    <mergeCell ref="AB91:AB92"/>
    <mergeCell ref="AH91:AH92"/>
    <mergeCell ref="P93:P94"/>
    <mergeCell ref="V93:V94"/>
    <mergeCell ref="AB93:AB94"/>
    <mergeCell ref="AH93:AH94"/>
    <mergeCell ref="D91:D92"/>
    <mergeCell ref="D93:D94"/>
    <mergeCell ref="J91:J92"/>
    <mergeCell ref="B95:C95"/>
    <mergeCell ref="B96:B101"/>
    <mergeCell ref="C96:C97"/>
    <mergeCell ref="P96:P97"/>
    <mergeCell ref="V96:V97"/>
    <mergeCell ref="AB96:AB97"/>
    <mergeCell ref="C100:C101"/>
    <mergeCell ref="J100:J101"/>
    <mergeCell ref="P100:P101"/>
    <mergeCell ref="V100:V101"/>
    <mergeCell ref="AH96:AH97"/>
    <mergeCell ref="C98:C99"/>
    <mergeCell ref="J98:J99"/>
    <mergeCell ref="P98:P99"/>
    <mergeCell ref="V98:V99"/>
    <mergeCell ref="AB98:AB99"/>
    <mergeCell ref="AH98:AH99"/>
    <mergeCell ref="D96:D97"/>
    <mergeCell ref="J96:J97"/>
    <mergeCell ref="D98:D99"/>
    <mergeCell ref="AB100:AB101"/>
    <mergeCell ref="AH100:AH101"/>
    <mergeCell ref="M93:M94"/>
    <mergeCell ref="N93:N94"/>
    <mergeCell ref="E96:E97"/>
    <mergeCell ref="V102:V103"/>
    <mergeCell ref="AB102:AB103"/>
    <mergeCell ref="AH102:AH103"/>
    <mergeCell ref="D100:D101"/>
    <mergeCell ref="E100:E101"/>
    <mergeCell ref="F100:F101"/>
    <mergeCell ref="P104:P105"/>
    <mergeCell ref="V104:V105"/>
    <mergeCell ref="AB104:AB105"/>
    <mergeCell ref="AH104:AH105"/>
    <mergeCell ref="D104:D105"/>
    <mergeCell ref="C106:C107"/>
    <mergeCell ref="P106:P107"/>
    <mergeCell ref="V106:V107"/>
    <mergeCell ref="AB106:AB107"/>
    <mergeCell ref="AH106:AH107"/>
    <mergeCell ref="E106:E107"/>
    <mergeCell ref="F106:F107"/>
    <mergeCell ref="G106:G107"/>
    <mergeCell ref="H106:H107"/>
    <mergeCell ref="W106:W107"/>
    <mergeCell ref="X106:X107"/>
    <mergeCell ref="Y106:Y107"/>
    <mergeCell ref="Z106:Z107"/>
    <mergeCell ref="AC106:AC107"/>
    <mergeCell ref="AD106:AD107"/>
    <mergeCell ref="AE106:AE107"/>
    <mergeCell ref="AF106:AF107"/>
    <mergeCell ref="A109:A123"/>
    <mergeCell ref="B109:C109"/>
    <mergeCell ref="B110:C111"/>
    <mergeCell ref="P110:P111"/>
    <mergeCell ref="V110:V111"/>
    <mergeCell ref="AB110:AB111"/>
    <mergeCell ref="AB114:AB115"/>
    <mergeCell ref="B118:B123"/>
    <mergeCell ref="C118:C119"/>
    <mergeCell ref="P118:P119"/>
    <mergeCell ref="AH110:AH111"/>
    <mergeCell ref="B112:B117"/>
    <mergeCell ref="C112:C113"/>
    <mergeCell ref="P112:P113"/>
    <mergeCell ref="V112:V113"/>
    <mergeCell ref="AB112:AB113"/>
    <mergeCell ref="AH112:AH113"/>
    <mergeCell ref="C114:C115"/>
    <mergeCell ref="P114:P115"/>
    <mergeCell ref="V114:V115"/>
    <mergeCell ref="AH114:AH115"/>
    <mergeCell ref="C116:C117"/>
    <mergeCell ref="P116:P117"/>
    <mergeCell ref="V116:V117"/>
    <mergeCell ref="AB116:AB117"/>
    <mergeCell ref="AH116:AH117"/>
    <mergeCell ref="D114:D115"/>
    <mergeCell ref="D116:D117"/>
    <mergeCell ref="E114:E115"/>
    <mergeCell ref="F114:F115"/>
    <mergeCell ref="V118:V119"/>
    <mergeCell ref="AB118:AB119"/>
    <mergeCell ref="AH118:AH119"/>
    <mergeCell ref="C120:C121"/>
    <mergeCell ref="P120:P121"/>
    <mergeCell ref="V120:V121"/>
    <mergeCell ref="AB120:AB121"/>
    <mergeCell ref="AH120:AH121"/>
    <mergeCell ref="D118:D119"/>
    <mergeCell ref="E118:E119"/>
    <mergeCell ref="P122:P123"/>
    <mergeCell ref="V122:V123"/>
    <mergeCell ref="AB122:AB123"/>
    <mergeCell ref="AH122:AH123"/>
    <mergeCell ref="A125:A151"/>
    <mergeCell ref="B125:B130"/>
    <mergeCell ref="C125:C126"/>
    <mergeCell ref="C127:C128"/>
    <mergeCell ref="P127:P128"/>
    <mergeCell ref="V127:V128"/>
    <mergeCell ref="AB127:AB128"/>
    <mergeCell ref="AH127:AH128"/>
    <mergeCell ref="C129:C130"/>
    <mergeCell ref="P129:P130"/>
    <mergeCell ref="V129:V130"/>
    <mergeCell ref="AB129:AB130"/>
    <mergeCell ref="AH129:AH130"/>
    <mergeCell ref="J129:J130"/>
    <mergeCell ref="D129:D130"/>
    <mergeCell ref="J127:J128"/>
    <mergeCell ref="B131:B136"/>
    <mergeCell ref="C131:C132"/>
    <mergeCell ref="P131:P132"/>
    <mergeCell ref="V131:V132"/>
    <mergeCell ref="AB131:AB132"/>
    <mergeCell ref="AH131:AH132"/>
    <mergeCell ref="C133:C134"/>
    <mergeCell ref="P133:P134"/>
    <mergeCell ref="V133:V134"/>
    <mergeCell ref="AB133:AB134"/>
    <mergeCell ref="AH133:AH134"/>
    <mergeCell ref="C135:C136"/>
    <mergeCell ref="P135:P136"/>
    <mergeCell ref="V135:V136"/>
    <mergeCell ref="AB135:AB136"/>
    <mergeCell ref="AH135:AH136"/>
    <mergeCell ref="D133:D134"/>
    <mergeCell ref="D135:D136"/>
    <mergeCell ref="E133:E134"/>
    <mergeCell ref="F133:F134"/>
    <mergeCell ref="B137:B142"/>
    <mergeCell ref="C137:C138"/>
    <mergeCell ref="P137:P138"/>
    <mergeCell ref="V137:V138"/>
    <mergeCell ref="AB137:AB138"/>
    <mergeCell ref="C141:C142"/>
    <mergeCell ref="P141:P142"/>
    <mergeCell ref="V141:V142"/>
    <mergeCell ref="AB141:AB142"/>
    <mergeCell ref="D141:D142"/>
    <mergeCell ref="AH137:AH138"/>
    <mergeCell ref="C139:C140"/>
    <mergeCell ref="P139:P140"/>
    <mergeCell ref="V139:V140"/>
    <mergeCell ref="AB139:AB140"/>
    <mergeCell ref="AH139:AH140"/>
    <mergeCell ref="AH141:AH142"/>
    <mergeCell ref="B143:B145"/>
    <mergeCell ref="B146:B151"/>
    <mergeCell ref="C146:C147"/>
    <mergeCell ref="P146:P147"/>
    <mergeCell ref="V146:V147"/>
    <mergeCell ref="AB146:AB147"/>
    <mergeCell ref="AH146:AH147"/>
    <mergeCell ref="C148:C149"/>
    <mergeCell ref="P148:P149"/>
    <mergeCell ref="V148:V149"/>
    <mergeCell ref="AB148:AB149"/>
    <mergeCell ref="AH148:AH149"/>
    <mergeCell ref="C150:C151"/>
    <mergeCell ref="P150:P151"/>
    <mergeCell ref="V150:V151"/>
    <mergeCell ref="AB150:AB151"/>
    <mergeCell ref="AH150:AH151"/>
    <mergeCell ref="D150:D151"/>
    <mergeCell ref="E150:E151"/>
    <mergeCell ref="Q141:Q142"/>
    <mergeCell ref="R141:R142"/>
    <mergeCell ref="S141:S142"/>
    <mergeCell ref="T141:T142"/>
    <mergeCell ref="E146:E147"/>
    <mergeCell ref="F146:F147"/>
    <mergeCell ref="G146:G147"/>
    <mergeCell ref="H146:H147"/>
    <mergeCell ref="E148:E149"/>
    <mergeCell ref="F148:F149"/>
    <mergeCell ref="G148:G149"/>
    <mergeCell ref="H148:H149"/>
    <mergeCell ref="A153:A188"/>
    <mergeCell ref="B153:B158"/>
    <mergeCell ref="C153:C154"/>
    <mergeCell ref="P153:P154"/>
    <mergeCell ref="V153:V154"/>
    <mergeCell ref="C157:C158"/>
    <mergeCell ref="P157:P158"/>
    <mergeCell ref="V157:V158"/>
    <mergeCell ref="V161:V162"/>
    <mergeCell ref="B165:B170"/>
    <mergeCell ref="AB153:AB154"/>
    <mergeCell ref="AH153:AH154"/>
    <mergeCell ref="J153:J154"/>
    <mergeCell ref="C155:C156"/>
    <mergeCell ref="P155:P156"/>
    <mergeCell ref="V155:V156"/>
    <mergeCell ref="AB155:AB156"/>
    <mergeCell ref="AH155:AH156"/>
    <mergeCell ref="D153:D154"/>
    <mergeCell ref="D155:D156"/>
    <mergeCell ref="AB157:AB158"/>
    <mergeCell ref="AH157:AH158"/>
    <mergeCell ref="B159:B164"/>
    <mergeCell ref="C159:C160"/>
    <mergeCell ref="P159:P160"/>
    <mergeCell ref="V159:V160"/>
    <mergeCell ref="AB159:AB160"/>
    <mergeCell ref="AH159:AH160"/>
    <mergeCell ref="C161:C162"/>
    <mergeCell ref="P161:P162"/>
    <mergeCell ref="AB161:AB162"/>
    <mergeCell ref="AH161:AH162"/>
    <mergeCell ref="C163:C164"/>
    <mergeCell ref="P163:P164"/>
    <mergeCell ref="V163:V164"/>
    <mergeCell ref="AB163:AB164"/>
    <mergeCell ref="AH163:AH164"/>
    <mergeCell ref="D161:D162"/>
    <mergeCell ref="D163:D164"/>
    <mergeCell ref="E163:E164"/>
    <mergeCell ref="C165:C166"/>
    <mergeCell ref="P165:P166"/>
    <mergeCell ref="V165:V166"/>
    <mergeCell ref="AB165:AB166"/>
    <mergeCell ref="AH165:AH166"/>
    <mergeCell ref="C167:C168"/>
    <mergeCell ref="P167:P168"/>
    <mergeCell ref="V167:V168"/>
    <mergeCell ref="AB167:AB168"/>
    <mergeCell ref="AH167:AH168"/>
    <mergeCell ref="E167:E168"/>
    <mergeCell ref="F167:F168"/>
    <mergeCell ref="G167:G168"/>
    <mergeCell ref="H167:H168"/>
    <mergeCell ref="K163:K164"/>
    <mergeCell ref="L163:L164"/>
    <mergeCell ref="M163:M164"/>
    <mergeCell ref="N163:N164"/>
    <mergeCell ref="K165:K166"/>
    <mergeCell ref="L165:L166"/>
    <mergeCell ref="M165:M166"/>
    <mergeCell ref="N165:N166"/>
    <mergeCell ref="K167:K168"/>
    <mergeCell ref="L167:L168"/>
    <mergeCell ref="C169:C170"/>
    <mergeCell ref="P169:P170"/>
    <mergeCell ref="V169:V170"/>
    <mergeCell ref="AB169:AB170"/>
    <mergeCell ref="AH169:AH170"/>
    <mergeCell ref="B171:B176"/>
    <mergeCell ref="C171:C172"/>
    <mergeCell ref="P171:P172"/>
    <mergeCell ref="V171:V172"/>
    <mergeCell ref="AB171:AB172"/>
    <mergeCell ref="AH171:AH172"/>
    <mergeCell ref="C173:C174"/>
    <mergeCell ref="P173:P174"/>
    <mergeCell ref="V173:V174"/>
    <mergeCell ref="AB173:AB174"/>
    <mergeCell ref="AH173:AH174"/>
    <mergeCell ref="J173:J174"/>
    <mergeCell ref="D173:D174"/>
    <mergeCell ref="E171:E172"/>
    <mergeCell ref="F171:F172"/>
    <mergeCell ref="C175:C176"/>
    <mergeCell ref="P175:P176"/>
    <mergeCell ref="V175:V176"/>
    <mergeCell ref="AB175:AB176"/>
    <mergeCell ref="AH175:AH176"/>
    <mergeCell ref="D175:D176"/>
    <mergeCell ref="J175:J176"/>
    <mergeCell ref="E175:E176"/>
    <mergeCell ref="F175:F176"/>
    <mergeCell ref="G175:G176"/>
    <mergeCell ref="E169:E170"/>
    <mergeCell ref="F169:F170"/>
    <mergeCell ref="V177:V178"/>
    <mergeCell ref="AB177:AB178"/>
    <mergeCell ref="C181:C182"/>
    <mergeCell ref="J177:J178"/>
    <mergeCell ref="AH177:AH178"/>
    <mergeCell ref="C179:C180"/>
    <mergeCell ref="P179:P180"/>
    <mergeCell ref="V179:V180"/>
    <mergeCell ref="AB179:AB180"/>
    <mergeCell ref="AH179:AH180"/>
    <mergeCell ref="AH181:AH182"/>
    <mergeCell ref="B183:B188"/>
    <mergeCell ref="C183:C184"/>
    <mergeCell ref="AH183:AH184"/>
    <mergeCell ref="C185:C186"/>
    <mergeCell ref="B177:B182"/>
    <mergeCell ref="C177:C178"/>
    <mergeCell ref="P183:P184"/>
    <mergeCell ref="V183:V184"/>
    <mergeCell ref="AB183:AB184"/>
    <mergeCell ref="P181:P182"/>
    <mergeCell ref="V181:V182"/>
    <mergeCell ref="AB181:AB182"/>
    <mergeCell ref="AH187:AH188"/>
    <mergeCell ref="AH185:AH186"/>
    <mergeCell ref="P185:P186"/>
    <mergeCell ref="V185:V186"/>
    <mergeCell ref="AB185:AB186"/>
    <mergeCell ref="Q181:Q182"/>
    <mergeCell ref="E181:E182"/>
    <mergeCell ref="F181:F182"/>
    <mergeCell ref="J187:J188"/>
    <mergeCell ref="P200:P201"/>
    <mergeCell ref="V200:V201"/>
    <mergeCell ref="J192:J193"/>
    <mergeCell ref="J198:J199"/>
    <mergeCell ref="P196:P197"/>
    <mergeCell ref="V196:V197"/>
    <mergeCell ref="D198:D199"/>
    <mergeCell ref="E190:E191"/>
    <mergeCell ref="AB192:AB193"/>
    <mergeCell ref="J200:J201"/>
    <mergeCell ref="J196:J197"/>
    <mergeCell ref="K187:K188"/>
    <mergeCell ref="L187:L188"/>
    <mergeCell ref="M187:M188"/>
    <mergeCell ref="N187:N188"/>
    <mergeCell ref="Q187:Q188"/>
    <mergeCell ref="R187:R188"/>
    <mergeCell ref="S187:S188"/>
    <mergeCell ref="T187:T188"/>
    <mergeCell ref="X190:X191"/>
    <mergeCell ref="AH196:AH197"/>
    <mergeCell ref="B198:C199"/>
    <mergeCell ref="P198:P199"/>
    <mergeCell ref="V198:V199"/>
    <mergeCell ref="AB198:AB199"/>
    <mergeCell ref="AH198:AH199"/>
    <mergeCell ref="D196:D197"/>
    <mergeCell ref="A196:A211"/>
    <mergeCell ref="B196:C197"/>
    <mergeCell ref="B200:C201"/>
    <mergeCell ref="AB200:AB201"/>
    <mergeCell ref="AH200:AH201"/>
    <mergeCell ref="AB202:AB203"/>
    <mergeCell ref="AH202:AH203"/>
    <mergeCell ref="AH204:AH205"/>
    <mergeCell ref="B202:B207"/>
    <mergeCell ref="AB196:AB197"/>
    <mergeCell ref="P202:P203"/>
    <mergeCell ref="J206:J207"/>
    <mergeCell ref="P206:P207"/>
    <mergeCell ref="V206:V207"/>
    <mergeCell ref="AB206:AB207"/>
    <mergeCell ref="J204:J205"/>
    <mergeCell ref="P204:P205"/>
    <mergeCell ref="V204:V205"/>
    <mergeCell ref="AB204:AB205"/>
    <mergeCell ref="V202:V203"/>
    <mergeCell ref="AH206:AH207"/>
    <mergeCell ref="C204:C205"/>
    <mergeCell ref="B208:C209"/>
    <mergeCell ref="J208:J209"/>
    <mergeCell ref="P208:P209"/>
    <mergeCell ref="V208:V209"/>
    <mergeCell ref="AB208:AB209"/>
    <mergeCell ref="AH208:AH209"/>
    <mergeCell ref="C206:C207"/>
    <mergeCell ref="D208:D209"/>
    <mergeCell ref="J210:J211"/>
    <mergeCell ref="P210:P211"/>
    <mergeCell ref="V210:V211"/>
    <mergeCell ref="AB210:AB211"/>
    <mergeCell ref="AH210:AH211"/>
    <mergeCell ref="V213:V214"/>
    <mergeCell ref="AB213:AB214"/>
    <mergeCell ref="Q213:Q214"/>
    <mergeCell ref="R213:R214"/>
    <mergeCell ref="S213:S214"/>
    <mergeCell ref="B217:C218"/>
    <mergeCell ref="P217:P218"/>
    <mergeCell ref="V217:V218"/>
    <mergeCell ref="AB217:AB218"/>
    <mergeCell ref="D215:D216"/>
    <mergeCell ref="AH213:AH214"/>
    <mergeCell ref="B215:C216"/>
    <mergeCell ref="J215:J216"/>
    <mergeCell ref="P215:P216"/>
    <mergeCell ref="V215:V216"/>
    <mergeCell ref="AB215:AB216"/>
    <mergeCell ref="AH215:AH216"/>
    <mergeCell ref="B213:C214"/>
    <mergeCell ref="J213:J214"/>
    <mergeCell ref="P213:P214"/>
    <mergeCell ref="AH217:AH218"/>
    <mergeCell ref="J217:J218"/>
    <mergeCell ref="E213:E214"/>
    <mergeCell ref="F213:F214"/>
    <mergeCell ref="G213:G214"/>
    <mergeCell ref="A222:A223"/>
    <mergeCell ref="B222:B223"/>
    <mergeCell ref="C222:C223"/>
    <mergeCell ref="P241:P242"/>
    <mergeCell ref="V241:V242"/>
    <mergeCell ref="V245:V246"/>
    <mergeCell ref="D237:D238"/>
    <mergeCell ref="D239:D240"/>
    <mergeCell ref="D241:D242"/>
    <mergeCell ref="D243:D244"/>
    <mergeCell ref="B249:B254"/>
    <mergeCell ref="C249:C250"/>
    <mergeCell ref="A226:A235"/>
    <mergeCell ref="B226:C227"/>
    <mergeCell ref="B228:C229"/>
    <mergeCell ref="B230:C231"/>
    <mergeCell ref="B232:C233"/>
    <mergeCell ref="P249:P250"/>
    <mergeCell ref="V249:V250"/>
    <mergeCell ref="E217:E218"/>
    <mergeCell ref="F217:F218"/>
    <mergeCell ref="G217:G218"/>
    <mergeCell ref="H217:H218"/>
    <mergeCell ref="K217:K218"/>
    <mergeCell ref="L217:L218"/>
    <mergeCell ref="M217:M218"/>
    <mergeCell ref="N217:N218"/>
    <mergeCell ref="Q217:Q218"/>
    <mergeCell ref="R217:R218"/>
    <mergeCell ref="B243:B248"/>
    <mergeCell ref="C243:C244"/>
    <mergeCell ref="P243:P244"/>
    <mergeCell ref="V243:V244"/>
    <mergeCell ref="AB243:AB244"/>
    <mergeCell ref="AH243:AH244"/>
    <mergeCell ref="C245:C246"/>
    <mergeCell ref="P245:P246"/>
    <mergeCell ref="AB245:AB246"/>
    <mergeCell ref="AH245:AH246"/>
    <mergeCell ref="C247:C248"/>
    <mergeCell ref="P247:P248"/>
    <mergeCell ref="V247:V248"/>
    <mergeCell ref="AB247:AB248"/>
    <mergeCell ref="AH247:AH248"/>
    <mergeCell ref="D245:D246"/>
    <mergeCell ref="J247:J248"/>
    <mergeCell ref="D247:D248"/>
    <mergeCell ref="E243:E244"/>
    <mergeCell ref="F243:F244"/>
    <mergeCell ref="Q249:Q250"/>
    <mergeCell ref="R249:R250"/>
    <mergeCell ref="S249:S250"/>
    <mergeCell ref="T249:T250"/>
    <mergeCell ref="Q251:Q252"/>
    <mergeCell ref="R251:R252"/>
    <mergeCell ref="AB237:AB238"/>
    <mergeCell ref="AH237:AH238"/>
    <mergeCell ref="C239:C240"/>
    <mergeCell ref="P239:P240"/>
    <mergeCell ref="V239:V240"/>
    <mergeCell ref="AB239:AB240"/>
    <mergeCell ref="AH239:AH240"/>
    <mergeCell ref="J237:J238"/>
    <mergeCell ref="P237:P238"/>
    <mergeCell ref="V237:V238"/>
    <mergeCell ref="AB241:AB242"/>
    <mergeCell ref="AH241:AH242"/>
    <mergeCell ref="P253:P254"/>
    <mergeCell ref="C253:C254"/>
    <mergeCell ref="V253:V254"/>
    <mergeCell ref="AB253:AB254"/>
    <mergeCell ref="AH253:AH254"/>
    <mergeCell ref="AH251:AH252"/>
    <mergeCell ref="V251:V252"/>
    <mergeCell ref="AB251:AB252"/>
    <mergeCell ref="J253:J254"/>
    <mergeCell ref="D253:D254"/>
    <mergeCell ref="E253:E254"/>
    <mergeCell ref="F253:F254"/>
    <mergeCell ref="G253:G254"/>
    <mergeCell ref="H253:H254"/>
    <mergeCell ref="K253:K254"/>
    <mergeCell ref="L253:L254"/>
    <mergeCell ref="M253:M254"/>
    <mergeCell ref="N253:N254"/>
    <mergeCell ref="A2:O2"/>
    <mergeCell ref="A3:O3"/>
    <mergeCell ref="B152:AH152"/>
    <mergeCell ref="B124:AH124"/>
    <mergeCell ref="B189:AH189"/>
    <mergeCell ref="B194:AH194"/>
    <mergeCell ref="AH192:AH193"/>
    <mergeCell ref="AH190:AH191"/>
    <mergeCell ref="A190:A193"/>
    <mergeCell ref="B190:C191"/>
    <mergeCell ref="E15:E16"/>
    <mergeCell ref="F15:F16"/>
    <mergeCell ref="G15:G16"/>
    <mergeCell ref="H15:H16"/>
    <mergeCell ref="K15:K16"/>
    <mergeCell ref="L15:L16"/>
    <mergeCell ref="M15:M16"/>
    <mergeCell ref="N15:N16"/>
    <mergeCell ref="Q15:Q16"/>
    <mergeCell ref="AB190:AB191"/>
    <mergeCell ref="P192:P193"/>
    <mergeCell ref="P187:P188"/>
    <mergeCell ref="V187:V188"/>
    <mergeCell ref="AB187:AB188"/>
    <mergeCell ref="B192:C193"/>
    <mergeCell ref="P190:P191"/>
    <mergeCell ref="V190:V191"/>
    <mergeCell ref="V192:V193"/>
    <mergeCell ref="D192:D193"/>
    <mergeCell ref="C187:C188"/>
    <mergeCell ref="J190:J191"/>
    <mergeCell ref="P177:P178"/>
    <mergeCell ref="R17:R18"/>
    <mergeCell ref="S17:S18"/>
    <mergeCell ref="T17:T18"/>
    <mergeCell ref="U17:U18"/>
    <mergeCell ref="W17:W18"/>
    <mergeCell ref="X17:X18"/>
    <mergeCell ref="Y17:Y18"/>
    <mergeCell ref="Z17:Z18"/>
    <mergeCell ref="AA17:AA18"/>
    <mergeCell ref="AC17:AC18"/>
    <mergeCell ref="AD17:AD18"/>
    <mergeCell ref="A4:H4"/>
    <mergeCell ref="D187:D188"/>
    <mergeCell ref="D190:D191"/>
    <mergeCell ref="A237:A254"/>
    <mergeCell ref="B237:B242"/>
    <mergeCell ref="A213:A218"/>
    <mergeCell ref="C241:C242"/>
    <mergeCell ref="B225:C225"/>
    <mergeCell ref="A5:B5"/>
    <mergeCell ref="A6:B6"/>
    <mergeCell ref="A7:H7"/>
    <mergeCell ref="B195:AH195"/>
    <mergeCell ref="B212:AH212"/>
    <mergeCell ref="AB249:AB250"/>
    <mergeCell ref="AH249:AH250"/>
    <mergeCell ref="C251:C252"/>
    <mergeCell ref="P251:P252"/>
    <mergeCell ref="J251:J252"/>
    <mergeCell ref="J249:J250"/>
    <mergeCell ref="D249:D250"/>
    <mergeCell ref="D251:D252"/>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H17:H18"/>
    <mergeCell ref="K17:K18"/>
    <mergeCell ref="L17:L18"/>
    <mergeCell ref="M17:M18"/>
    <mergeCell ref="N17:N18"/>
    <mergeCell ref="Q17:Q18"/>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V23:V24"/>
    <mergeCell ref="AC23:AC24"/>
    <mergeCell ref="AD23:AD24"/>
    <mergeCell ref="AE23:AE24"/>
    <mergeCell ref="AF23:AF24"/>
    <mergeCell ref="AG23:AG24"/>
    <mergeCell ref="F21:F22"/>
    <mergeCell ref="G21:G22"/>
    <mergeCell ref="H21:H22"/>
    <mergeCell ref="K21:K22"/>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Z21:Z22"/>
    <mergeCell ref="AA21:AA22"/>
    <mergeCell ref="AC21:AC22"/>
    <mergeCell ref="L21:L22"/>
    <mergeCell ref="M21:M22"/>
    <mergeCell ref="N21:N22"/>
    <mergeCell ref="Q21:Q22"/>
    <mergeCell ref="R21:R22"/>
    <mergeCell ref="S21:S22"/>
    <mergeCell ref="T21:T22"/>
    <mergeCell ref="U21:U22"/>
    <mergeCell ref="O21:O22"/>
    <mergeCell ref="P21:P22"/>
    <mergeCell ref="W21:W22"/>
    <mergeCell ref="X21:X22"/>
    <mergeCell ref="Y21:Y22"/>
    <mergeCell ref="I23:I24"/>
    <mergeCell ref="J23:J24"/>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E25:E26"/>
    <mergeCell ref="F25:F26"/>
    <mergeCell ref="G25:G26"/>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C33:AC34"/>
    <mergeCell ref="AD33:AD34"/>
    <mergeCell ref="AE33:AE34"/>
    <mergeCell ref="AF33:AF34"/>
    <mergeCell ref="AG33:AG34"/>
    <mergeCell ref="T29:T30"/>
    <mergeCell ref="U29:U30"/>
    <mergeCell ref="W29:W30"/>
    <mergeCell ref="X29:X30"/>
    <mergeCell ref="Y29:Y30"/>
    <mergeCell ref="Z29:Z30"/>
    <mergeCell ref="AA29:AA30"/>
    <mergeCell ref="AC29:AC30"/>
    <mergeCell ref="AD29:AD30"/>
    <mergeCell ref="AE29:AE30"/>
    <mergeCell ref="AF29:AF30"/>
    <mergeCell ref="AG29:AG30"/>
    <mergeCell ref="AA31:AA32"/>
    <mergeCell ref="AC31:AC32"/>
    <mergeCell ref="AD31:AD32"/>
    <mergeCell ref="V29:V30"/>
    <mergeCell ref="M35:M36"/>
    <mergeCell ref="N35:N36"/>
    <mergeCell ref="Q35:Q36"/>
    <mergeCell ref="R35:R36"/>
    <mergeCell ref="S35:S36"/>
    <mergeCell ref="T35:T36"/>
    <mergeCell ref="U35:U36"/>
    <mergeCell ref="W35:W36"/>
    <mergeCell ref="X35:X36"/>
    <mergeCell ref="Y35:Y36"/>
    <mergeCell ref="Z35:Z36"/>
    <mergeCell ref="AE31:AE32"/>
    <mergeCell ref="AF31:AF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A35:AA36"/>
    <mergeCell ref="AC35:AC36"/>
    <mergeCell ref="AD35:AD36"/>
    <mergeCell ref="AE35:AE36"/>
    <mergeCell ref="AF35:AF36"/>
    <mergeCell ref="AG35:AG36"/>
    <mergeCell ref="E37:E38"/>
    <mergeCell ref="F37:F38"/>
    <mergeCell ref="G37:G38"/>
    <mergeCell ref="H37:H38"/>
    <mergeCell ref="I37:I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35:E36"/>
    <mergeCell ref="F35:F36"/>
    <mergeCell ref="G35:G36"/>
    <mergeCell ref="H35:H36"/>
    <mergeCell ref="K35:K36"/>
    <mergeCell ref="L35:L36"/>
    <mergeCell ref="E40:E41"/>
    <mergeCell ref="F40:F41"/>
    <mergeCell ref="G40:G41"/>
    <mergeCell ref="H40:H41"/>
    <mergeCell ref="K40:K41"/>
    <mergeCell ref="L40:L41"/>
    <mergeCell ref="M40:M41"/>
    <mergeCell ref="E42:E43"/>
    <mergeCell ref="F42:F43"/>
    <mergeCell ref="G42:G43"/>
    <mergeCell ref="H42:H43"/>
    <mergeCell ref="E44:E45"/>
    <mergeCell ref="F44:F45"/>
    <mergeCell ref="G44:G45"/>
    <mergeCell ref="H44:H45"/>
    <mergeCell ref="F46:F47"/>
    <mergeCell ref="G46:G47"/>
    <mergeCell ref="H46:H47"/>
    <mergeCell ref="E50:E51"/>
    <mergeCell ref="F50:F51"/>
    <mergeCell ref="G50:G51"/>
    <mergeCell ref="H50:H51"/>
    <mergeCell ref="E52:E53"/>
    <mergeCell ref="F52:F53"/>
    <mergeCell ref="G52:G53"/>
    <mergeCell ref="H52:H53"/>
    <mergeCell ref="G54:G55"/>
    <mergeCell ref="H54:H55"/>
    <mergeCell ref="E56:E57"/>
    <mergeCell ref="F56:F57"/>
    <mergeCell ref="G56:G57"/>
    <mergeCell ref="H56:H57"/>
    <mergeCell ref="N40:N41"/>
    <mergeCell ref="K42:K43"/>
    <mergeCell ref="L42:L43"/>
    <mergeCell ref="M42:M43"/>
    <mergeCell ref="N42:N43"/>
    <mergeCell ref="K44:K45"/>
    <mergeCell ref="L44:L45"/>
    <mergeCell ref="M44:M45"/>
    <mergeCell ref="N44:N45"/>
    <mergeCell ref="K46:K47"/>
    <mergeCell ref="L46:L47"/>
    <mergeCell ref="M46:M47"/>
    <mergeCell ref="N46:N47"/>
    <mergeCell ref="K48:K49"/>
    <mergeCell ref="L48:L49"/>
    <mergeCell ref="M48:M49"/>
    <mergeCell ref="N48:N49"/>
    <mergeCell ref="L52:L53"/>
    <mergeCell ref="N56:N57"/>
    <mergeCell ref="Q40:Q41"/>
    <mergeCell ref="R40:R41"/>
    <mergeCell ref="Q44:Q45"/>
    <mergeCell ref="R44:R45"/>
    <mergeCell ref="Q48:Q49"/>
    <mergeCell ref="R48:R49"/>
    <mergeCell ref="S40:S41"/>
    <mergeCell ref="T40:T41"/>
    <mergeCell ref="Q42:Q43"/>
    <mergeCell ref="R42:R43"/>
    <mergeCell ref="S42:S43"/>
    <mergeCell ref="T42:T43"/>
    <mergeCell ref="S44:S45"/>
    <mergeCell ref="T44:T45"/>
    <mergeCell ref="Q46:Q47"/>
    <mergeCell ref="R46:R47"/>
    <mergeCell ref="S46:S47"/>
    <mergeCell ref="T46:T47"/>
    <mergeCell ref="S48:S49"/>
    <mergeCell ref="T48:T49"/>
    <mergeCell ref="Q50:Q51"/>
    <mergeCell ref="R50:R51"/>
    <mergeCell ref="S50:S51"/>
    <mergeCell ref="T50:T51"/>
    <mergeCell ref="Q52:Q53"/>
    <mergeCell ref="R52:R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Y40:Y41"/>
    <mergeCell ref="Z40:Z41"/>
    <mergeCell ref="W42:W43"/>
    <mergeCell ref="X42:X43"/>
    <mergeCell ref="Y42:Y43"/>
    <mergeCell ref="Z42:Z43"/>
    <mergeCell ref="Y44:Y45"/>
    <mergeCell ref="Z44:Z45"/>
    <mergeCell ref="W46:W47"/>
    <mergeCell ref="X46:X47"/>
    <mergeCell ref="Y46:Y47"/>
    <mergeCell ref="Z46:Z47"/>
    <mergeCell ref="Y48:Y49"/>
    <mergeCell ref="Z48:Z49"/>
    <mergeCell ref="W50:W51"/>
    <mergeCell ref="X50:X51"/>
    <mergeCell ref="Y50:Y51"/>
    <mergeCell ref="Z50:Z51"/>
    <mergeCell ref="W52:W53"/>
    <mergeCell ref="X52:X53"/>
    <mergeCell ref="Y52:Y53"/>
    <mergeCell ref="Y54:Y55"/>
    <mergeCell ref="Z54:Z55"/>
    <mergeCell ref="W56:W57"/>
    <mergeCell ref="X56:X57"/>
    <mergeCell ref="Y56:Y57"/>
    <mergeCell ref="Z56:Z57"/>
    <mergeCell ref="AC40:AC41"/>
    <mergeCell ref="AD40:AD41"/>
    <mergeCell ref="AC44:AC45"/>
    <mergeCell ref="AD44:AD45"/>
    <mergeCell ref="AC48:AC49"/>
    <mergeCell ref="AD48:AD49"/>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B44:AB45"/>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L59:L60"/>
    <mergeCell ref="M59:M60"/>
    <mergeCell ref="K59:K60"/>
    <mergeCell ref="N59:N60"/>
    <mergeCell ref="Q59:Q60"/>
    <mergeCell ref="R59:R60"/>
    <mergeCell ref="S59:S60"/>
    <mergeCell ref="T59:T60"/>
    <mergeCell ref="W59:W60"/>
    <mergeCell ref="X59:X60"/>
    <mergeCell ref="Y59:Y60"/>
    <mergeCell ref="Z59:Z60"/>
    <mergeCell ref="Z52:Z53"/>
    <mergeCell ref="W54:W55"/>
    <mergeCell ref="X54:X55"/>
    <mergeCell ref="K61:K62"/>
    <mergeCell ref="L61:L62"/>
    <mergeCell ref="M61:M62"/>
    <mergeCell ref="N61:N62"/>
    <mergeCell ref="K63:K64"/>
    <mergeCell ref="L63:L64"/>
    <mergeCell ref="M63:M64"/>
    <mergeCell ref="N63:N64"/>
    <mergeCell ref="L65:L66"/>
    <mergeCell ref="M65:M66"/>
    <mergeCell ref="N65:N66"/>
    <mergeCell ref="K67:K68"/>
    <mergeCell ref="L67:L68"/>
    <mergeCell ref="M67:M68"/>
    <mergeCell ref="N67:N68"/>
    <mergeCell ref="L69:L70"/>
    <mergeCell ref="M69:M70"/>
    <mergeCell ref="N69:N70"/>
    <mergeCell ref="Q61:Q62"/>
    <mergeCell ref="R61:R62"/>
    <mergeCell ref="S61:S62"/>
    <mergeCell ref="T61:T62"/>
    <mergeCell ref="T63:T64"/>
    <mergeCell ref="Q65:Q66"/>
    <mergeCell ref="R65:R66"/>
    <mergeCell ref="S65:S66"/>
    <mergeCell ref="T65:T66"/>
    <mergeCell ref="Q67:Q68"/>
    <mergeCell ref="R67:R68"/>
    <mergeCell ref="S67:S68"/>
    <mergeCell ref="T67:T68"/>
    <mergeCell ref="Q69:Q70"/>
    <mergeCell ref="R69:R70"/>
    <mergeCell ref="S69:S70"/>
    <mergeCell ref="T69:T70"/>
    <mergeCell ref="W61:W62"/>
    <mergeCell ref="X61:X62"/>
    <mergeCell ref="Y61:Y62"/>
    <mergeCell ref="Z61:Z62"/>
    <mergeCell ref="W63:W64"/>
    <mergeCell ref="X63:X64"/>
    <mergeCell ref="Y63:Y64"/>
    <mergeCell ref="Z63:Z64"/>
    <mergeCell ref="W65:W66"/>
    <mergeCell ref="X65:X66"/>
    <mergeCell ref="Y65:Y66"/>
    <mergeCell ref="Z65:Z66"/>
    <mergeCell ref="W67:W68"/>
    <mergeCell ref="X67:X68"/>
    <mergeCell ref="Y67:Y68"/>
    <mergeCell ref="Z67:Z68"/>
    <mergeCell ref="W69:W70"/>
    <mergeCell ref="X69:X70"/>
    <mergeCell ref="Y69:Y70"/>
    <mergeCell ref="Z69:Z70"/>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AC71:AC72"/>
    <mergeCell ref="AD71:AD72"/>
    <mergeCell ref="AE71:AE72"/>
    <mergeCell ref="AF71:AF72"/>
    <mergeCell ref="E74:E75"/>
    <mergeCell ref="F74:F75"/>
    <mergeCell ref="G74:G75"/>
    <mergeCell ref="H74:H75"/>
    <mergeCell ref="Q74:Q75"/>
    <mergeCell ref="R74:R75"/>
    <mergeCell ref="H78:H79"/>
    <mergeCell ref="K74:K75"/>
    <mergeCell ref="L74:L75"/>
    <mergeCell ref="M74:M75"/>
    <mergeCell ref="N74:N75"/>
    <mergeCell ref="K78:K79"/>
    <mergeCell ref="L78:L79"/>
    <mergeCell ref="M78:M79"/>
    <mergeCell ref="N78:N79"/>
    <mergeCell ref="S74:S75"/>
    <mergeCell ref="T74:T75"/>
    <mergeCell ref="Q78:Q79"/>
    <mergeCell ref="R78:R79"/>
    <mergeCell ref="S78:S79"/>
    <mergeCell ref="T78:T79"/>
    <mergeCell ref="W74:W75"/>
    <mergeCell ref="X74:X75"/>
    <mergeCell ref="Y74:Y75"/>
    <mergeCell ref="Z74:Z75"/>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Q83:Q84"/>
    <mergeCell ref="R83:R84"/>
    <mergeCell ref="S83:S84"/>
    <mergeCell ref="T83:T84"/>
    <mergeCell ref="W83:W84"/>
    <mergeCell ref="X83:X84"/>
    <mergeCell ref="Y83:Y84"/>
    <mergeCell ref="Z83:Z84"/>
    <mergeCell ref="AC83:AC84"/>
    <mergeCell ref="AD83:AD84"/>
    <mergeCell ref="AE83:AE84"/>
    <mergeCell ref="AF83:AF84"/>
    <mergeCell ref="G89:G90"/>
    <mergeCell ref="H89:H90"/>
    <mergeCell ref="E91:E92"/>
    <mergeCell ref="F91:F92"/>
    <mergeCell ref="G91:G92"/>
    <mergeCell ref="H91:H92"/>
    <mergeCell ref="E93:E94"/>
    <mergeCell ref="F93:F94"/>
    <mergeCell ref="G93:G94"/>
    <mergeCell ref="H93:H94"/>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K93:K94"/>
    <mergeCell ref="L93:L9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Q93:Q94"/>
    <mergeCell ref="R93:R94"/>
    <mergeCell ref="S93:S94"/>
    <mergeCell ref="T93:T9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W93:W94"/>
    <mergeCell ref="X93:X94"/>
    <mergeCell ref="Y93:Y94"/>
    <mergeCell ref="Z93:Z9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F96:F97"/>
    <mergeCell ref="G96:G97"/>
    <mergeCell ref="H96:H97"/>
    <mergeCell ref="E98:E99"/>
    <mergeCell ref="F98:F99"/>
    <mergeCell ref="G98:G99"/>
    <mergeCell ref="H98:H99"/>
    <mergeCell ref="G100:G101"/>
    <mergeCell ref="H100:H101"/>
    <mergeCell ref="E102:E103"/>
    <mergeCell ref="F102:F103"/>
    <mergeCell ref="G102:G103"/>
    <mergeCell ref="H102:H103"/>
    <mergeCell ref="E104:E105"/>
    <mergeCell ref="F104:F105"/>
    <mergeCell ref="G104:G105"/>
    <mergeCell ref="H104:H105"/>
    <mergeCell ref="K96:K97"/>
    <mergeCell ref="K98:K99"/>
    <mergeCell ref="K100:K101"/>
    <mergeCell ref="K102:K103"/>
    <mergeCell ref="K104:K105"/>
    <mergeCell ref="K106:K107"/>
    <mergeCell ref="L96:L97"/>
    <mergeCell ref="L98:L99"/>
    <mergeCell ref="L100:L101"/>
    <mergeCell ref="L102:L103"/>
    <mergeCell ref="L104:L105"/>
    <mergeCell ref="L106:L107"/>
    <mergeCell ref="M96:M97"/>
    <mergeCell ref="M98:M99"/>
    <mergeCell ref="M100:M101"/>
    <mergeCell ref="M102:M103"/>
    <mergeCell ref="M104:M105"/>
    <mergeCell ref="M106:M107"/>
    <mergeCell ref="N96:N97"/>
    <mergeCell ref="N98:N99"/>
    <mergeCell ref="N100:N101"/>
    <mergeCell ref="N102:N103"/>
    <mergeCell ref="N104:N105"/>
    <mergeCell ref="N106:N107"/>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Q106:Q107"/>
    <mergeCell ref="R106:R107"/>
    <mergeCell ref="S106:S107"/>
    <mergeCell ref="T106:T107"/>
    <mergeCell ref="P102:P103"/>
    <mergeCell ref="W96:W97"/>
    <mergeCell ref="X96:X97"/>
    <mergeCell ref="Y96:Y97"/>
    <mergeCell ref="Z96:Z9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E122:E123"/>
    <mergeCell ref="F122:F123"/>
    <mergeCell ref="G122:G123"/>
    <mergeCell ref="H122:H123"/>
    <mergeCell ref="K110:K111"/>
    <mergeCell ref="L110:L111"/>
    <mergeCell ref="K114:K115"/>
    <mergeCell ref="L114:L115"/>
    <mergeCell ref="K118:K119"/>
    <mergeCell ref="L118:L119"/>
    <mergeCell ref="K122:K123"/>
    <mergeCell ref="L122:L123"/>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E116:E117"/>
    <mergeCell ref="F116:F117"/>
    <mergeCell ref="G116:G117"/>
    <mergeCell ref="H116:H117"/>
    <mergeCell ref="F118:F119"/>
    <mergeCell ref="G118:G119"/>
    <mergeCell ref="H118:H119"/>
    <mergeCell ref="E120:E121"/>
    <mergeCell ref="F120:F121"/>
    <mergeCell ref="G120:G121"/>
    <mergeCell ref="H120:H121"/>
    <mergeCell ref="M122:M123"/>
    <mergeCell ref="N122:N123"/>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Q120:Q121"/>
    <mergeCell ref="R120:R121"/>
    <mergeCell ref="S120:S121"/>
    <mergeCell ref="T120:T121"/>
    <mergeCell ref="Q122:Q123"/>
    <mergeCell ref="R122:R123"/>
    <mergeCell ref="S122:S123"/>
    <mergeCell ref="T122:T123"/>
    <mergeCell ref="M110:M111"/>
    <mergeCell ref="N110:N111"/>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E127:E128"/>
    <mergeCell ref="F127:F128"/>
    <mergeCell ref="G127:G128"/>
    <mergeCell ref="H127:H128"/>
    <mergeCell ref="V125:V126"/>
    <mergeCell ref="AB125:AB126"/>
    <mergeCell ref="E129:E130"/>
    <mergeCell ref="F129:F130"/>
    <mergeCell ref="G129:G130"/>
    <mergeCell ref="H129:H130"/>
    <mergeCell ref="E131:E132"/>
    <mergeCell ref="F131:F132"/>
    <mergeCell ref="G131:G132"/>
    <mergeCell ref="H131:H132"/>
    <mergeCell ref="R125:R126"/>
    <mergeCell ref="S125:S126"/>
    <mergeCell ref="T125:T126"/>
    <mergeCell ref="Q127:Q128"/>
    <mergeCell ref="R127:R128"/>
    <mergeCell ref="S127:S128"/>
    <mergeCell ref="T127:T128"/>
    <mergeCell ref="Q129:Q130"/>
    <mergeCell ref="R129:R130"/>
    <mergeCell ref="S129:S130"/>
    <mergeCell ref="T129:T130"/>
    <mergeCell ref="Q131:Q132"/>
    <mergeCell ref="R131:R132"/>
    <mergeCell ref="S131:S132"/>
    <mergeCell ref="H137:H138"/>
    <mergeCell ref="E139:E140"/>
    <mergeCell ref="F139:F140"/>
    <mergeCell ref="G139:G140"/>
    <mergeCell ref="H139:H140"/>
    <mergeCell ref="E141:E142"/>
    <mergeCell ref="F141:F142"/>
    <mergeCell ref="G141:G142"/>
    <mergeCell ref="H141:H142"/>
    <mergeCell ref="J125:J126"/>
    <mergeCell ref="P125:P126"/>
    <mergeCell ref="K129:K130"/>
    <mergeCell ref="L129:L130"/>
    <mergeCell ref="M129:M130"/>
    <mergeCell ref="N129:N130"/>
    <mergeCell ref="AH125:AH126"/>
    <mergeCell ref="K125:K126"/>
    <mergeCell ref="L125:L126"/>
    <mergeCell ref="M125:M126"/>
    <mergeCell ref="N125:N126"/>
    <mergeCell ref="K127:K128"/>
    <mergeCell ref="L127:L128"/>
    <mergeCell ref="M127:M128"/>
    <mergeCell ref="N127:N128"/>
    <mergeCell ref="Q125:Q126"/>
    <mergeCell ref="K131:K132"/>
    <mergeCell ref="L131:L132"/>
    <mergeCell ref="M131:M132"/>
    <mergeCell ref="N131:N132"/>
    <mergeCell ref="K133:K134"/>
    <mergeCell ref="L133:L134"/>
    <mergeCell ref="M133:M134"/>
    <mergeCell ref="N133:N134"/>
    <mergeCell ref="K135:K136"/>
    <mergeCell ref="L135:L136"/>
    <mergeCell ref="M135:M136"/>
    <mergeCell ref="N135:N136"/>
    <mergeCell ref="K137:K138"/>
    <mergeCell ref="L137:L138"/>
    <mergeCell ref="M137:M138"/>
    <mergeCell ref="N137:N138"/>
    <mergeCell ref="K139:K140"/>
    <mergeCell ref="L139:L140"/>
    <mergeCell ref="M139:M140"/>
    <mergeCell ref="N139:N140"/>
    <mergeCell ref="K141:K142"/>
    <mergeCell ref="L141:L142"/>
    <mergeCell ref="M141:M142"/>
    <mergeCell ref="N141:N142"/>
    <mergeCell ref="T131:T132"/>
    <mergeCell ref="Q133:Q134"/>
    <mergeCell ref="R133:R134"/>
    <mergeCell ref="S133:S134"/>
    <mergeCell ref="T133:T134"/>
    <mergeCell ref="Q135:Q136"/>
    <mergeCell ref="R135:R136"/>
    <mergeCell ref="S135:S136"/>
    <mergeCell ref="T135:T136"/>
    <mergeCell ref="Q137:Q138"/>
    <mergeCell ref="R137:R138"/>
    <mergeCell ref="S137:S138"/>
    <mergeCell ref="T137:T138"/>
    <mergeCell ref="Q139:Q140"/>
    <mergeCell ref="R139:R140"/>
    <mergeCell ref="S139:S140"/>
    <mergeCell ref="T139:T140"/>
    <mergeCell ref="W125:W126"/>
    <mergeCell ref="W127:W128"/>
    <mergeCell ref="W129:W130"/>
    <mergeCell ref="W131:W132"/>
    <mergeCell ref="W133:W134"/>
    <mergeCell ref="W135:W136"/>
    <mergeCell ref="W137:W138"/>
    <mergeCell ref="W139:W140"/>
    <mergeCell ref="W141:W142"/>
    <mergeCell ref="X125:X126"/>
    <mergeCell ref="X127:X128"/>
    <mergeCell ref="X129:X130"/>
    <mergeCell ref="X131:X132"/>
    <mergeCell ref="X133:X134"/>
    <mergeCell ref="X135:X136"/>
    <mergeCell ref="X137:X138"/>
    <mergeCell ref="X139:X140"/>
    <mergeCell ref="X141:X142"/>
    <mergeCell ref="Y125:Y126"/>
    <mergeCell ref="Y127:Y128"/>
    <mergeCell ref="Y129:Y130"/>
    <mergeCell ref="Y131:Y132"/>
    <mergeCell ref="Y133:Y134"/>
    <mergeCell ref="Y135:Y136"/>
    <mergeCell ref="Y137:Y138"/>
    <mergeCell ref="Y139:Y140"/>
    <mergeCell ref="Y141:Y142"/>
    <mergeCell ref="Z125:Z126"/>
    <mergeCell ref="Z127:Z128"/>
    <mergeCell ref="Z129:Z130"/>
    <mergeCell ref="Z131:Z132"/>
    <mergeCell ref="Z133:Z134"/>
    <mergeCell ref="Z135:Z136"/>
    <mergeCell ref="Z137:Z138"/>
    <mergeCell ref="Z139:Z140"/>
    <mergeCell ref="Z141:Z142"/>
    <mergeCell ref="AC125:AC126"/>
    <mergeCell ref="AC127:AC128"/>
    <mergeCell ref="AC129:AC130"/>
    <mergeCell ref="AC131:AC132"/>
    <mergeCell ref="AC133:AC134"/>
    <mergeCell ref="AC135:AC136"/>
    <mergeCell ref="AC137:AC138"/>
    <mergeCell ref="AC139:AC140"/>
    <mergeCell ref="AC141:AC142"/>
    <mergeCell ref="AD125:AD126"/>
    <mergeCell ref="AD127:AD128"/>
    <mergeCell ref="AD129:AD130"/>
    <mergeCell ref="AD131:AD132"/>
    <mergeCell ref="AD133:AD134"/>
    <mergeCell ref="AD135:AD136"/>
    <mergeCell ref="AD137:AD138"/>
    <mergeCell ref="AD139:AD140"/>
    <mergeCell ref="AD141:AD142"/>
    <mergeCell ref="AE125:AE126"/>
    <mergeCell ref="AE127:AE128"/>
    <mergeCell ref="AE129:AE130"/>
    <mergeCell ref="AE131:AE132"/>
    <mergeCell ref="AE133:AE134"/>
    <mergeCell ref="AE135:AE136"/>
    <mergeCell ref="AE137:AE138"/>
    <mergeCell ref="AE139:AE140"/>
    <mergeCell ref="AE141:AE142"/>
    <mergeCell ref="AF125:AF126"/>
    <mergeCell ref="AF127:AF128"/>
    <mergeCell ref="AF129:AF130"/>
    <mergeCell ref="AF131:AF132"/>
    <mergeCell ref="AF133:AF134"/>
    <mergeCell ref="AF135:AF136"/>
    <mergeCell ref="AF137:AF138"/>
    <mergeCell ref="AF139:AF140"/>
    <mergeCell ref="AF141:AF142"/>
    <mergeCell ref="F150:F151"/>
    <mergeCell ref="G150:G151"/>
    <mergeCell ref="H150:H151"/>
    <mergeCell ref="K146:K147"/>
    <mergeCell ref="L146:L147"/>
    <mergeCell ref="M146:M147"/>
    <mergeCell ref="N146:N147"/>
    <mergeCell ref="K148:K149"/>
    <mergeCell ref="L148:L149"/>
    <mergeCell ref="M148:M149"/>
    <mergeCell ref="N148:N149"/>
    <mergeCell ref="K150:K151"/>
    <mergeCell ref="L150:L151"/>
    <mergeCell ref="M150:M151"/>
    <mergeCell ref="N150:N151"/>
    <mergeCell ref="S146:S147"/>
    <mergeCell ref="T146:T147"/>
    <mergeCell ref="Q148:Q149"/>
    <mergeCell ref="R148:R149"/>
    <mergeCell ref="S148:S149"/>
    <mergeCell ref="T148:T149"/>
    <mergeCell ref="Q150:Q151"/>
    <mergeCell ref="R150:R151"/>
    <mergeCell ref="S150:S151"/>
    <mergeCell ref="T150:T151"/>
    <mergeCell ref="W146:W147"/>
    <mergeCell ref="X146:X147"/>
    <mergeCell ref="W150:W151"/>
    <mergeCell ref="X150:X151"/>
    <mergeCell ref="Q146:Q147"/>
    <mergeCell ref="R146:R147"/>
    <mergeCell ref="Y146:Y147"/>
    <mergeCell ref="Z146:Z147"/>
    <mergeCell ref="W148:W149"/>
    <mergeCell ref="X148:X149"/>
    <mergeCell ref="Y148:Y149"/>
    <mergeCell ref="Z148:Z149"/>
    <mergeCell ref="Y150:Y151"/>
    <mergeCell ref="Z150:Z151"/>
    <mergeCell ref="AC146:AC147"/>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53:E154"/>
    <mergeCell ref="F153:F154"/>
    <mergeCell ref="G153:G154"/>
    <mergeCell ref="H153:H154"/>
    <mergeCell ref="K153:K154"/>
    <mergeCell ref="L153:L154"/>
    <mergeCell ref="E155:E156"/>
    <mergeCell ref="F155:F156"/>
    <mergeCell ref="G155:G156"/>
    <mergeCell ref="H155:H156"/>
    <mergeCell ref="Q153:Q154"/>
    <mergeCell ref="R153:R154"/>
    <mergeCell ref="S153:S154"/>
    <mergeCell ref="T153:T154"/>
    <mergeCell ref="Q155:Q156"/>
    <mergeCell ref="R155:R156"/>
    <mergeCell ref="S155:S156"/>
    <mergeCell ref="T155:T156"/>
    <mergeCell ref="W153:W154"/>
    <mergeCell ref="X153:X154"/>
    <mergeCell ref="Y153:Y154"/>
    <mergeCell ref="Z153:Z154"/>
    <mergeCell ref="W155:W156"/>
    <mergeCell ref="E157:E158"/>
    <mergeCell ref="F157:F158"/>
    <mergeCell ref="G157:G158"/>
    <mergeCell ref="H157:H158"/>
    <mergeCell ref="G159:G160"/>
    <mergeCell ref="H159:H160"/>
    <mergeCell ref="E161:E162"/>
    <mergeCell ref="F161:F162"/>
    <mergeCell ref="G161:G162"/>
    <mergeCell ref="H161:H162"/>
    <mergeCell ref="F163:F164"/>
    <mergeCell ref="G163:G164"/>
    <mergeCell ref="H163:H164"/>
    <mergeCell ref="E165:E166"/>
    <mergeCell ref="F165:F166"/>
    <mergeCell ref="G165:G166"/>
    <mergeCell ref="H165:H166"/>
    <mergeCell ref="G169:G170"/>
    <mergeCell ref="H169:H170"/>
    <mergeCell ref="G171:G172"/>
    <mergeCell ref="H171:H172"/>
    <mergeCell ref="E173:E174"/>
    <mergeCell ref="F173:F174"/>
    <mergeCell ref="G173:G174"/>
    <mergeCell ref="H173:H174"/>
    <mergeCell ref="H175:H176"/>
    <mergeCell ref="E177:E178"/>
    <mergeCell ref="F177:F178"/>
    <mergeCell ref="G177:G178"/>
    <mergeCell ref="H177:H178"/>
    <mergeCell ref="E179:E180"/>
    <mergeCell ref="F179:F180"/>
    <mergeCell ref="G179:G180"/>
    <mergeCell ref="H179:H180"/>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M153:M154"/>
    <mergeCell ref="N153:N154"/>
    <mergeCell ref="K155:K156"/>
    <mergeCell ref="L155:L156"/>
    <mergeCell ref="M155:M156"/>
    <mergeCell ref="N155:N156"/>
    <mergeCell ref="K157:K158"/>
    <mergeCell ref="L157:L158"/>
    <mergeCell ref="M157:M158"/>
    <mergeCell ref="N157:N158"/>
    <mergeCell ref="K159:K160"/>
    <mergeCell ref="L159:L160"/>
    <mergeCell ref="M159:M160"/>
    <mergeCell ref="N159:N160"/>
    <mergeCell ref="K161:K162"/>
    <mergeCell ref="L161:L162"/>
    <mergeCell ref="M161:M162"/>
    <mergeCell ref="N161:N162"/>
    <mergeCell ref="M167:M168"/>
    <mergeCell ref="N167:N168"/>
    <mergeCell ref="K169:K170"/>
    <mergeCell ref="L169:L170"/>
    <mergeCell ref="M169:M170"/>
    <mergeCell ref="N169:N170"/>
    <mergeCell ref="K171:K172"/>
    <mergeCell ref="L171:L172"/>
    <mergeCell ref="M171:M172"/>
    <mergeCell ref="N171:N172"/>
    <mergeCell ref="K173:K174"/>
    <mergeCell ref="L173:L174"/>
    <mergeCell ref="M173:M174"/>
    <mergeCell ref="N173:N174"/>
    <mergeCell ref="K175:K176"/>
    <mergeCell ref="L175:L176"/>
    <mergeCell ref="M175:M176"/>
    <mergeCell ref="N175:N176"/>
    <mergeCell ref="K177:K178"/>
    <mergeCell ref="L177:L178"/>
    <mergeCell ref="M177:M178"/>
    <mergeCell ref="N177:N178"/>
    <mergeCell ref="K179:K180"/>
    <mergeCell ref="L179:L180"/>
    <mergeCell ref="M179:M180"/>
    <mergeCell ref="N179:N180"/>
    <mergeCell ref="K181:K182"/>
    <mergeCell ref="L181:L182"/>
    <mergeCell ref="M181:M182"/>
    <mergeCell ref="N181:N182"/>
    <mergeCell ref="K183:K184"/>
    <mergeCell ref="L183:L184"/>
    <mergeCell ref="M183:M184"/>
    <mergeCell ref="N183:N184"/>
    <mergeCell ref="K185:K186"/>
    <mergeCell ref="L185:L186"/>
    <mergeCell ref="M185:M186"/>
    <mergeCell ref="N185:N186"/>
    <mergeCell ref="Q157:Q158"/>
    <mergeCell ref="R157:R158"/>
    <mergeCell ref="S157:S158"/>
    <mergeCell ref="T157:T158"/>
    <mergeCell ref="Q159:Q160"/>
    <mergeCell ref="R159:R160"/>
    <mergeCell ref="S159:S160"/>
    <mergeCell ref="T159:T160"/>
    <mergeCell ref="Q161:Q162"/>
    <mergeCell ref="R161:R162"/>
    <mergeCell ref="S161:S162"/>
    <mergeCell ref="T161:T162"/>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R181:R182"/>
    <mergeCell ref="S181:S182"/>
    <mergeCell ref="T181:T182"/>
    <mergeCell ref="Q183:Q184"/>
    <mergeCell ref="R183:R184"/>
    <mergeCell ref="S183:S184"/>
    <mergeCell ref="T183:T184"/>
    <mergeCell ref="Q185:Q186"/>
    <mergeCell ref="R185:R186"/>
    <mergeCell ref="S185:S186"/>
    <mergeCell ref="T185:T18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F190:F191"/>
    <mergeCell ref="G190:G191"/>
    <mergeCell ref="H190:H191"/>
    <mergeCell ref="E192:E193"/>
    <mergeCell ref="F192:F193"/>
    <mergeCell ref="G192:G193"/>
    <mergeCell ref="H192:H193"/>
    <mergeCell ref="K190:K191"/>
    <mergeCell ref="L190:L191"/>
    <mergeCell ref="M190:M191"/>
    <mergeCell ref="N190:N191"/>
    <mergeCell ref="K192:K193"/>
    <mergeCell ref="L192:L193"/>
    <mergeCell ref="M192:M193"/>
    <mergeCell ref="N192:N193"/>
    <mergeCell ref="Q190:Q191"/>
    <mergeCell ref="R190:R191"/>
    <mergeCell ref="S190:S191"/>
    <mergeCell ref="T190:T191"/>
    <mergeCell ref="Q192:Q193"/>
    <mergeCell ref="R192:R193"/>
    <mergeCell ref="S192:S193"/>
    <mergeCell ref="T192:T193"/>
    <mergeCell ref="W190:W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E204:E205"/>
    <mergeCell ref="F204:F205"/>
    <mergeCell ref="G204:G205"/>
    <mergeCell ref="H204:H205"/>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H213:H214"/>
    <mergeCell ref="I213:I214"/>
    <mergeCell ref="K213:K214"/>
    <mergeCell ref="L213:L214"/>
    <mergeCell ref="M213:M214"/>
    <mergeCell ref="N213:N214"/>
    <mergeCell ref="E215:E216"/>
    <mergeCell ref="F215:F216"/>
    <mergeCell ref="G215:G216"/>
    <mergeCell ref="H215:H216"/>
    <mergeCell ref="K215:K216"/>
    <mergeCell ref="L215:L216"/>
    <mergeCell ref="M215:M216"/>
    <mergeCell ref="N215:N216"/>
    <mergeCell ref="T213:T214"/>
    <mergeCell ref="Q215:Q216"/>
    <mergeCell ref="R215:R216"/>
    <mergeCell ref="S215:S216"/>
    <mergeCell ref="T215:T216"/>
    <mergeCell ref="AE213:AE214"/>
    <mergeCell ref="AF213:AF214"/>
    <mergeCell ref="AE215:AE216"/>
    <mergeCell ref="AF215:AF216"/>
    <mergeCell ref="W208:W209"/>
    <mergeCell ref="S217:S218"/>
    <mergeCell ref="T217:T218"/>
    <mergeCell ref="Y213:Y214"/>
    <mergeCell ref="Z213:Z214"/>
    <mergeCell ref="W215:W216"/>
    <mergeCell ref="X215:X216"/>
    <mergeCell ref="Y215:Y216"/>
    <mergeCell ref="Z215:Z216"/>
    <mergeCell ref="W217:W218"/>
    <mergeCell ref="X217:X218"/>
    <mergeCell ref="Y217:Y218"/>
    <mergeCell ref="Z217:Z218"/>
    <mergeCell ref="AC213:AC214"/>
    <mergeCell ref="AD213:AD214"/>
    <mergeCell ref="AC217:AC218"/>
    <mergeCell ref="AD217:AD218"/>
    <mergeCell ref="W213:W214"/>
    <mergeCell ref="X213:X214"/>
    <mergeCell ref="AC215:AC216"/>
    <mergeCell ref="AD215:AD216"/>
    <mergeCell ref="AE217:AE218"/>
    <mergeCell ref="AF217:AF218"/>
    <mergeCell ref="E237:E238"/>
    <mergeCell ref="F237:F238"/>
    <mergeCell ref="G237:G238"/>
    <mergeCell ref="H237:H238"/>
    <mergeCell ref="K237:K238"/>
    <mergeCell ref="L237:L238"/>
    <mergeCell ref="M237:M238"/>
    <mergeCell ref="N237:N238"/>
    <mergeCell ref="E239:E240"/>
    <mergeCell ref="F239:F240"/>
    <mergeCell ref="G239:G240"/>
    <mergeCell ref="H239:H240"/>
    <mergeCell ref="E241:E242"/>
    <mergeCell ref="F241:F242"/>
    <mergeCell ref="G241:G242"/>
    <mergeCell ref="H241:H242"/>
    <mergeCell ref="K239:K240"/>
    <mergeCell ref="L239:L240"/>
    <mergeCell ref="M239:M240"/>
    <mergeCell ref="N239:N240"/>
    <mergeCell ref="K241:K242"/>
    <mergeCell ref="L241:L242"/>
    <mergeCell ref="M241:M242"/>
    <mergeCell ref="N241:N242"/>
    <mergeCell ref="Q237:Q238"/>
    <mergeCell ref="R237:R238"/>
    <mergeCell ref="S237:S238"/>
    <mergeCell ref="T237:T238"/>
    <mergeCell ref="Q239:Q240"/>
    <mergeCell ref="R239:R240"/>
    <mergeCell ref="G243:G244"/>
    <mergeCell ref="H243:H244"/>
    <mergeCell ref="E245:E246"/>
    <mergeCell ref="F245:F246"/>
    <mergeCell ref="G245:G246"/>
    <mergeCell ref="H245:H246"/>
    <mergeCell ref="E247:E248"/>
    <mergeCell ref="F247:F248"/>
    <mergeCell ref="G247:G248"/>
    <mergeCell ref="H247:H248"/>
    <mergeCell ref="E249:E250"/>
    <mergeCell ref="F249:F250"/>
    <mergeCell ref="G249:G250"/>
    <mergeCell ref="H249:H250"/>
    <mergeCell ref="E251:E252"/>
    <mergeCell ref="F251:F252"/>
    <mergeCell ref="G251:G252"/>
    <mergeCell ref="H251:H252"/>
    <mergeCell ref="K243:K244"/>
    <mergeCell ref="L243:L244"/>
    <mergeCell ref="M243:M244"/>
    <mergeCell ref="N243:N244"/>
    <mergeCell ref="K245:K246"/>
    <mergeCell ref="L245:L246"/>
    <mergeCell ref="M245:M246"/>
    <mergeCell ref="N245:N246"/>
    <mergeCell ref="K247:K248"/>
    <mergeCell ref="L247:L248"/>
    <mergeCell ref="M247:M248"/>
    <mergeCell ref="N247:N248"/>
    <mergeCell ref="K249:K250"/>
    <mergeCell ref="L249:L250"/>
    <mergeCell ref="M249:M250"/>
    <mergeCell ref="N249:N250"/>
    <mergeCell ref="K251:K252"/>
    <mergeCell ref="L251:L252"/>
    <mergeCell ref="M251:M252"/>
    <mergeCell ref="N251:N252"/>
    <mergeCell ref="S239:S240"/>
    <mergeCell ref="T239:T240"/>
    <mergeCell ref="Q241:Q242"/>
    <mergeCell ref="R241:R242"/>
    <mergeCell ref="S241:S242"/>
    <mergeCell ref="T241:T242"/>
    <mergeCell ref="Q243:Q244"/>
    <mergeCell ref="R243:R244"/>
    <mergeCell ref="S243:S244"/>
    <mergeCell ref="T243:T244"/>
    <mergeCell ref="Q245:Q246"/>
    <mergeCell ref="R245:R246"/>
    <mergeCell ref="S245:S246"/>
    <mergeCell ref="T245:T246"/>
    <mergeCell ref="Q247:Q248"/>
    <mergeCell ref="R247:R248"/>
    <mergeCell ref="S247:S248"/>
    <mergeCell ref="T247:T248"/>
    <mergeCell ref="S251:S252"/>
    <mergeCell ref="T251:T252"/>
    <mergeCell ref="Q253:Q254"/>
    <mergeCell ref="R253:R254"/>
    <mergeCell ref="S253:S254"/>
    <mergeCell ref="T253:T254"/>
    <mergeCell ref="W237:W238"/>
    <mergeCell ref="X237:X238"/>
    <mergeCell ref="W241:W242"/>
    <mergeCell ref="X241:X242"/>
    <mergeCell ref="W245:W246"/>
    <mergeCell ref="X245:X246"/>
    <mergeCell ref="Y237:Y238"/>
    <mergeCell ref="Z237:Z238"/>
    <mergeCell ref="W239:W240"/>
    <mergeCell ref="X239:X240"/>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W249:W250"/>
    <mergeCell ref="X249:X250"/>
    <mergeCell ref="Y249:Y250"/>
    <mergeCell ref="Z249:Z250"/>
    <mergeCell ref="W251:W252"/>
    <mergeCell ref="X251:X252"/>
    <mergeCell ref="Y251:Y252"/>
    <mergeCell ref="Z251:Z252"/>
    <mergeCell ref="W253:W254"/>
    <mergeCell ref="X253:X254"/>
    <mergeCell ref="Y253:Y254"/>
    <mergeCell ref="Z253:Z254"/>
    <mergeCell ref="AC237:AC238"/>
    <mergeCell ref="AD237:AD238"/>
    <mergeCell ref="AC241:AC242"/>
    <mergeCell ref="AD241:AD242"/>
    <mergeCell ref="AC245:AC246"/>
    <mergeCell ref="AD245:AD246"/>
    <mergeCell ref="AE237:AE238"/>
    <mergeCell ref="AC253:AC254"/>
    <mergeCell ref="AD253:AD254"/>
    <mergeCell ref="AE253:AE254"/>
    <mergeCell ref="AF253:AF254"/>
    <mergeCell ref="AC249:AC250"/>
    <mergeCell ref="AD249:AD250"/>
    <mergeCell ref="AE249:AE250"/>
    <mergeCell ref="AF249:AF250"/>
    <mergeCell ref="AC251:AC252"/>
    <mergeCell ref="AD251:AD252"/>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51:AE252"/>
    <mergeCell ref="AF251:AF252"/>
    <mergeCell ref="AE245:AE246"/>
    <mergeCell ref="AF245:AF246"/>
    <mergeCell ref="AC247:AC248"/>
    <mergeCell ref="AD247:AD248"/>
    <mergeCell ref="AE247:AE248"/>
    <mergeCell ref="AF247:AF248"/>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2808B-B521-4A1F-823E-9FD0C5195EBF}">
  <dimension ref="A1:AH256"/>
  <sheetViews>
    <sheetView zoomScaleNormal="100" workbookViewId="0">
      <pane xSplit="3" ySplit="14" topLeftCell="D242" activePane="bottomRight" state="frozen"/>
      <selection pane="topRight" activeCell="M1" sqref="M1"/>
      <selection pane="bottomLeft" activeCell="A15" sqref="A15"/>
      <selection pane="bottomRight" activeCell="A9" sqref="A9"/>
    </sheetView>
  </sheetViews>
  <sheetFormatPr defaultColWidth="9.109375" defaultRowHeight="10.199999999999999" x14ac:dyDescent="0.2"/>
  <cols>
    <col min="1" max="1" width="5.109375" style="11" customWidth="1"/>
    <col min="2" max="2" width="18.21875" style="31" customWidth="1"/>
    <col min="3" max="3" width="6.44140625" style="11" customWidth="1"/>
    <col min="4" max="4" width="3.44140625" style="11" customWidth="1"/>
    <col min="5" max="34" width="4.77734375" style="11" customWidth="1"/>
    <col min="35" max="16384" width="9.109375" style="11"/>
  </cols>
  <sheetData>
    <row r="1" spans="1:34" x14ac:dyDescent="0.2">
      <c r="A1" s="9"/>
      <c r="B1" s="10"/>
      <c r="C1" s="9"/>
      <c r="D1" s="9"/>
    </row>
    <row r="2" spans="1:34" x14ac:dyDescent="0.2">
      <c r="A2" s="297" t="s">
        <v>51</v>
      </c>
      <c r="B2" s="297"/>
      <c r="C2" s="297"/>
      <c r="D2" s="326"/>
      <c r="E2" s="326"/>
      <c r="F2" s="326"/>
      <c r="G2" s="326"/>
      <c r="H2" s="326"/>
      <c r="I2" s="326"/>
      <c r="J2" s="326"/>
      <c r="K2" s="326"/>
      <c r="L2" s="326"/>
      <c r="M2" s="326"/>
      <c r="N2" s="326"/>
      <c r="O2" s="326"/>
      <c r="P2" s="326"/>
    </row>
    <row r="3" spans="1:34" x14ac:dyDescent="0.2">
      <c r="A3" s="297" t="s">
        <v>50</v>
      </c>
      <c r="B3" s="297"/>
      <c r="C3" s="297"/>
      <c r="D3" s="326"/>
      <c r="E3" s="326"/>
      <c r="F3" s="326"/>
      <c r="G3" s="326"/>
      <c r="H3" s="326"/>
      <c r="I3" s="326"/>
      <c r="J3" s="326"/>
      <c r="K3" s="326"/>
      <c r="L3" s="326"/>
    </row>
    <row r="4" spans="1:34" x14ac:dyDescent="0.2">
      <c r="A4" s="508" t="s">
        <v>54</v>
      </c>
      <c r="B4" s="508"/>
      <c r="C4" s="508"/>
      <c r="D4" s="12"/>
    </row>
    <row r="5" spans="1:34" x14ac:dyDescent="0.2">
      <c r="A5" s="271" t="s">
        <v>148</v>
      </c>
      <c r="B5" s="269"/>
      <c r="C5" s="14"/>
      <c r="D5" s="14"/>
      <c r="Q5" s="11" t="s">
        <v>74</v>
      </c>
      <c r="R5" s="15"/>
      <c r="W5" s="11" t="s">
        <v>74</v>
      </c>
      <c r="Y5" s="278"/>
      <c r="AC5" s="11" t="s">
        <v>74</v>
      </c>
    </row>
    <row r="6" spans="1:34" x14ac:dyDescent="0.2">
      <c r="A6" s="271" t="s">
        <v>154</v>
      </c>
      <c r="B6" s="269"/>
      <c r="C6" s="9"/>
      <c r="D6" s="9"/>
      <c r="I6" s="16"/>
      <c r="J6" s="16"/>
      <c r="O6" s="16"/>
      <c r="U6" s="16"/>
      <c r="V6" s="16"/>
      <c r="Y6" s="278"/>
      <c r="AA6" s="16"/>
      <c r="AB6" s="16"/>
      <c r="AG6" s="16"/>
      <c r="AH6" s="16"/>
    </row>
    <row r="7" spans="1:34" x14ac:dyDescent="0.2">
      <c r="A7" s="268"/>
      <c r="B7" s="268"/>
      <c r="C7" s="268"/>
    </row>
    <row r="8" spans="1:34" x14ac:dyDescent="0.2">
      <c r="A8" s="268" t="s">
        <v>179</v>
      </c>
      <c r="B8" s="268"/>
      <c r="C8" s="268"/>
      <c r="D8" s="326"/>
      <c r="E8" s="326"/>
      <c r="F8" s="326"/>
      <c r="G8" s="326"/>
      <c r="H8" s="326"/>
      <c r="I8" s="326"/>
      <c r="J8" s="326"/>
      <c r="K8" s="326"/>
      <c r="L8" s="326"/>
      <c r="M8" s="326"/>
      <c r="N8" s="326"/>
      <c r="O8" s="326"/>
      <c r="P8" s="326"/>
    </row>
    <row r="9" spans="1:34" x14ac:dyDescent="0.2">
      <c r="A9" s="9"/>
      <c r="B9" s="10"/>
      <c r="C9" s="9"/>
      <c r="D9" s="9"/>
    </row>
    <row r="10" spans="1:34" ht="20.399999999999999"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50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0.4</v>
      </c>
      <c r="F61" s="252">
        <v>0.4</v>
      </c>
      <c r="G61" s="252">
        <v>0.4</v>
      </c>
      <c r="H61" s="252">
        <v>0.4</v>
      </c>
      <c r="I61" s="251"/>
      <c r="J61" s="252">
        <v>0.4</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29.25" customHeight="1"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32.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9"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274" t="s">
        <v>20</v>
      </c>
      <c r="C81" s="307"/>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2"/>
    </row>
    <row r="82" spans="1:34" ht="49.2" customHeight="1" x14ac:dyDescent="0.2">
      <c r="A82" s="289"/>
      <c r="B82" s="33" t="s">
        <v>95</v>
      </c>
      <c r="C82" s="34"/>
      <c r="D82" s="24" t="s">
        <v>135</v>
      </c>
      <c r="E82" s="35">
        <v>13</v>
      </c>
      <c r="F82" s="35">
        <v>13</v>
      </c>
      <c r="G82" s="35">
        <v>13</v>
      </c>
      <c r="H82" s="35">
        <v>16</v>
      </c>
      <c r="I82" s="35"/>
      <c r="J82" s="35">
        <v>55</v>
      </c>
      <c r="K82" s="162">
        <v>13</v>
      </c>
      <c r="L82" s="162">
        <v>13</v>
      </c>
      <c r="M82" s="162">
        <v>13</v>
      </c>
      <c r="N82" s="162">
        <v>16</v>
      </c>
      <c r="O82" s="162"/>
      <c r="P82" s="35">
        <v>55</v>
      </c>
      <c r="Q82" s="162">
        <v>13</v>
      </c>
      <c r="R82" s="162">
        <v>13</v>
      </c>
      <c r="S82" s="162">
        <v>13</v>
      </c>
      <c r="T82" s="162">
        <v>16</v>
      </c>
      <c r="U82" s="35"/>
      <c r="V82" s="35">
        <v>55</v>
      </c>
      <c r="W82" s="162">
        <v>13</v>
      </c>
      <c r="X82" s="162">
        <v>13</v>
      </c>
      <c r="Y82" s="162">
        <v>13</v>
      </c>
      <c r="Z82" s="162">
        <v>16</v>
      </c>
      <c r="AA82" s="162"/>
      <c r="AB82" s="35">
        <v>55</v>
      </c>
      <c r="AC82" s="162">
        <v>13</v>
      </c>
      <c r="AD82" s="162">
        <v>13</v>
      </c>
      <c r="AE82" s="162">
        <v>13</v>
      </c>
      <c r="AF82" s="162">
        <v>16</v>
      </c>
      <c r="AG82" s="35"/>
      <c r="AH82" s="35">
        <v>55</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479"/>
      <c r="D95" s="24" t="s">
        <v>135</v>
      </c>
      <c r="E95" s="162">
        <v>113</v>
      </c>
      <c r="F95" s="162">
        <v>113</v>
      </c>
      <c r="G95" s="162">
        <v>113</v>
      </c>
      <c r="H95" s="162">
        <v>116</v>
      </c>
      <c r="I95" s="35"/>
      <c r="J95" s="35">
        <v>455</v>
      </c>
      <c r="K95" s="35">
        <v>112</v>
      </c>
      <c r="L95" s="35">
        <v>112</v>
      </c>
      <c r="M95" s="35">
        <v>112</v>
      </c>
      <c r="N95" s="35">
        <v>114</v>
      </c>
      <c r="O95" s="35"/>
      <c r="P95" s="35">
        <v>450</v>
      </c>
      <c r="Q95" s="162">
        <v>111</v>
      </c>
      <c r="R95" s="162">
        <v>111</v>
      </c>
      <c r="S95" s="162">
        <v>111</v>
      </c>
      <c r="T95" s="162">
        <v>112</v>
      </c>
      <c r="U95" s="35"/>
      <c r="V95" s="35">
        <v>445</v>
      </c>
      <c r="W95" s="162">
        <v>110</v>
      </c>
      <c r="X95" s="162">
        <v>110</v>
      </c>
      <c r="Y95" s="162">
        <v>110</v>
      </c>
      <c r="Z95" s="162">
        <v>110</v>
      </c>
      <c r="AA95" s="162"/>
      <c r="AB95" s="35">
        <v>440</v>
      </c>
      <c r="AC95" s="162">
        <v>108</v>
      </c>
      <c r="AD95" s="162">
        <v>108</v>
      </c>
      <c r="AE95" s="162">
        <v>108</v>
      </c>
      <c r="AF95" s="162">
        <v>111</v>
      </c>
      <c r="AG95" s="35"/>
      <c r="AH95" s="35">
        <v>435</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7.2"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ht="18" customHeight="1" x14ac:dyDescent="0.2">
      <c r="A109" s="509"/>
      <c r="B109" s="298" t="s">
        <v>23</v>
      </c>
      <c r="C109" s="298"/>
      <c r="D109" s="24" t="s">
        <v>135</v>
      </c>
      <c r="E109" s="23">
        <v>100</v>
      </c>
      <c r="F109" s="23">
        <v>100</v>
      </c>
      <c r="G109" s="23">
        <v>100</v>
      </c>
      <c r="H109" s="23">
        <v>100</v>
      </c>
      <c r="I109" s="26"/>
      <c r="J109" s="41">
        <v>400</v>
      </c>
      <c r="K109" s="23">
        <v>100</v>
      </c>
      <c r="L109" s="23">
        <v>100</v>
      </c>
      <c r="M109" s="23">
        <v>100</v>
      </c>
      <c r="N109" s="23">
        <v>100</v>
      </c>
      <c r="O109" s="26"/>
      <c r="P109" s="41">
        <v>400</v>
      </c>
      <c r="Q109" s="23">
        <v>100</v>
      </c>
      <c r="R109" s="23">
        <v>100</v>
      </c>
      <c r="S109" s="23">
        <v>100</v>
      </c>
      <c r="T109" s="23">
        <v>100</v>
      </c>
      <c r="U109" s="26"/>
      <c r="V109" s="41">
        <v>400</v>
      </c>
      <c r="W109" s="23">
        <v>100</v>
      </c>
      <c r="X109" s="23">
        <v>100</v>
      </c>
      <c r="Y109" s="23">
        <v>100</v>
      </c>
      <c r="Z109" s="23">
        <v>100</v>
      </c>
      <c r="AA109" s="26"/>
      <c r="AB109" s="41">
        <v>400</v>
      </c>
      <c r="AC109" s="23">
        <v>100</v>
      </c>
      <c r="AD109" s="23">
        <v>100</v>
      </c>
      <c r="AE109" s="23">
        <v>100</v>
      </c>
      <c r="AF109" s="23">
        <v>100</v>
      </c>
      <c r="AG109" s="26"/>
      <c r="AH109" s="41">
        <v>400</v>
      </c>
    </row>
    <row r="110" spans="1:34" x14ac:dyDescent="0.2">
      <c r="A110" s="509"/>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09"/>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3.2" customHeight="1" x14ac:dyDescent="0.2">
      <c r="A113" s="509"/>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09"/>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09"/>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7.399999999999999" customHeight="1" x14ac:dyDescent="0.2">
      <c r="A116" s="509"/>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4.4" customHeight="1" x14ac:dyDescent="0.2">
      <c r="A117" s="509"/>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09"/>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09"/>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09"/>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09"/>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09"/>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10"/>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55">
        <v>5.0000000000000001E-3</v>
      </c>
      <c r="Q125" s="255">
        <v>5.0000000000000001E-3</v>
      </c>
      <c r="R125" s="255">
        <v>5.0000000000000001E-3</v>
      </c>
      <c r="S125" s="255">
        <v>5.0000000000000001E-3</v>
      </c>
      <c r="T125" s="255">
        <v>5.0000000000000001E-3</v>
      </c>
      <c r="U125" s="26"/>
      <c r="V125" s="255">
        <v>5.0000000000000001E-3</v>
      </c>
      <c r="W125" s="255">
        <v>5.0000000000000001E-3</v>
      </c>
      <c r="X125" s="255">
        <v>5.0000000000000001E-3</v>
      </c>
      <c r="Y125" s="255">
        <v>5.0000000000000001E-3</v>
      </c>
      <c r="Z125" s="255">
        <v>5.0000000000000001E-3</v>
      </c>
      <c r="AA125" s="26"/>
      <c r="AB125" s="255">
        <v>5.0000000000000001E-3</v>
      </c>
      <c r="AC125" s="255">
        <v>5.0000000000000001E-3</v>
      </c>
      <c r="AD125" s="255">
        <v>5.0000000000000001E-3</v>
      </c>
      <c r="AE125" s="255">
        <v>5.0000000000000001E-3</v>
      </c>
      <c r="AF125" s="255">
        <v>5.0000000000000001E-3</v>
      </c>
      <c r="AG125" s="26"/>
      <c r="AH125" s="255">
        <v>5.0000000000000001E-3</v>
      </c>
    </row>
    <row r="126" spans="1:34" ht="15.75" customHeight="1" x14ac:dyDescent="0.2">
      <c r="A126" s="289"/>
      <c r="B126" s="284"/>
      <c r="C126" s="273"/>
      <c r="D126" s="251"/>
      <c r="E126" s="256"/>
      <c r="F126" s="256"/>
      <c r="G126" s="256"/>
      <c r="H126" s="256"/>
      <c r="I126" s="26"/>
      <c r="J126" s="256"/>
      <c r="K126" s="256"/>
      <c r="L126" s="256"/>
      <c r="M126" s="256"/>
      <c r="N126" s="256"/>
      <c r="O126" s="26"/>
      <c r="P126" s="256"/>
      <c r="Q126" s="256"/>
      <c r="R126" s="256"/>
      <c r="S126" s="256"/>
      <c r="T126" s="256"/>
      <c r="U126" s="26"/>
      <c r="V126" s="256"/>
      <c r="W126" s="256"/>
      <c r="X126" s="256"/>
      <c r="Y126" s="256"/>
      <c r="Z126" s="256"/>
      <c r="AA126" s="26"/>
      <c r="AB126" s="256"/>
      <c r="AC126" s="256"/>
      <c r="AD126" s="256"/>
      <c r="AE126" s="256"/>
      <c r="AF126" s="256"/>
      <c r="AG126" s="26"/>
      <c r="AH126" s="256"/>
    </row>
    <row r="127" spans="1:34" ht="15.75" customHeight="1" x14ac:dyDescent="0.2">
      <c r="A127" s="289"/>
      <c r="B127" s="284"/>
      <c r="C127" s="273"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289"/>
      <c r="B128" s="284"/>
      <c r="C128" s="273"/>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289"/>
      <c r="B130" s="284"/>
      <c r="C130" s="273"/>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ht="15.75" customHeight="1" x14ac:dyDescent="0.2">
      <c r="A132" s="289"/>
      <c r="B132" s="284"/>
      <c r="C132" s="273"/>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289"/>
      <c r="B133" s="284"/>
      <c r="C133" s="273"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289"/>
      <c r="B134" s="284"/>
      <c r="C134" s="273"/>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15.75" customHeight="1" x14ac:dyDescent="0.2">
      <c r="A136" s="289"/>
      <c r="B136" s="284"/>
      <c r="C136" s="273"/>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ht="15.75" customHeight="1" x14ac:dyDescent="0.2">
      <c r="A138" s="289"/>
      <c r="B138" s="284"/>
      <c r="C138" s="291"/>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ht="15.75" customHeight="1" x14ac:dyDescent="0.2">
      <c r="A139" s="289"/>
      <c r="B139" s="284"/>
      <c r="C139" s="291"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ht="15.75" customHeight="1" x14ac:dyDescent="0.2">
      <c r="A140" s="289"/>
      <c r="B140" s="284"/>
      <c r="C140" s="291"/>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ht="15.75" customHeight="1" x14ac:dyDescent="0.2">
      <c r="A142" s="289"/>
      <c r="B142" s="284"/>
      <c r="C142" s="291"/>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ht="15.75" customHeight="1" x14ac:dyDescent="0.2">
      <c r="A143" s="289"/>
      <c r="B143" s="284" t="s">
        <v>139</v>
      </c>
      <c r="C143" s="24" t="s">
        <v>6</v>
      </c>
      <c r="D143" s="24" t="s">
        <v>135</v>
      </c>
      <c r="E143" s="23">
        <v>5</v>
      </c>
      <c r="F143" s="23">
        <v>5</v>
      </c>
      <c r="G143" s="23">
        <v>5</v>
      </c>
      <c r="H143" s="23">
        <v>5</v>
      </c>
      <c r="I143" s="26"/>
      <c r="J143" s="41">
        <v>20</v>
      </c>
      <c r="K143" s="23">
        <v>5</v>
      </c>
      <c r="L143" s="23">
        <v>5</v>
      </c>
      <c r="M143" s="23">
        <v>5</v>
      </c>
      <c r="N143" s="23">
        <v>5</v>
      </c>
      <c r="O143" s="26"/>
      <c r="P143" s="41">
        <v>20</v>
      </c>
      <c r="Q143" s="23">
        <v>5</v>
      </c>
      <c r="R143" s="23">
        <v>5</v>
      </c>
      <c r="S143" s="23">
        <v>5</v>
      </c>
      <c r="T143" s="23">
        <v>5</v>
      </c>
      <c r="U143" s="26"/>
      <c r="V143" s="41">
        <v>20</v>
      </c>
      <c r="W143" s="23">
        <v>5</v>
      </c>
      <c r="X143" s="23">
        <v>5</v>
      </c>
      <c r="Y143" s="23">
        <v>5</v>
      </c>
      <c r="Z143" s="23">
        <v>5</v>
      </c>
      <c r="AA143" s="26"/>
      <c r="AB143" s="41">
        <v>20</v>
      </c>
      <c r="AC143" s="23">
        <v>5</v>
      </c>
      <c r="AD143" s="23">
        <v>5</v>
      </c>
      <c r="AE143" s="23">
        <v>5</v>
      </c>
      <c r="AF143" s="23">
        <v>5</v>
      </c>
      <c r="AG143" s="26"/>
      <c r="AH143" s="41">
        <v>20</v>
      </c>
    </row>
    <row r="144" spans="1:34" x14ac:dyDescent="0.2">
      <c r="A144" s="289"/>
      <c r="B144" s="284"/>
      <c r="C144" s="24"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4" t="s">
        <v>8</v>
      </c>
      <c r="D145" s="24" t="s">
        <v>135</v>
      </c>
      <c r="E145" s="23">
        <v>2</v>
      </c>
      <c r="F145" s="23">
        <v>2</v>
      </c>
      <c r="G145" s="23">
        <v>2</v>
      </c>
      <c r="H145" s="23">
        <v>4</v>
      </c>
      <c r="I145" s="26"/>
      <c r="J145" s="41">
        <v>10</v>
      </c>
      <c r="K145" s="23">
        <v>2</v>
      </c>
      <c r="L145" s="23">
        <v>2</v>
      </c>
      <c r="M145" s="23">
        <v>2</v>
      </c>
      <c r="N145" s="23">
        <v>4</v>
      </c>
      <c r="O145" s="26"/>
      <c r="P145" s="41">
        <v>10</v>
      </c>
      <c r="Q145" s="23">
        <v>2</v>
      </c>
      <c r="R145" s="23">
        <v>2</v>
      </c>
      <c r="S145" s="23">
        <v>2</v>
      </c>
      <c r="T145" s="23">
        <v>4</v>
      </c>
      <c r="U145" s="26"/>
      <c r="V145" s="41">
        <v>10</v>
      </c>
      <c r="W145" s="23">
        <v>2</v>
      </c>
      <c r="X145" s="23">
        <v>2</v>
      </c>
      <c r="Y145" s="23">
        <v>2</v>
      </c>
      <c r="Z145" s="23">
        <v>4</v>
      </c>
      <c r="AA145" s="26"/>
      <c r="AB145" s="41">
        <v>10</v>
      </c>
      <c r="AC145" s="23">
        <v>2</v>
      </c>
      <c r="AD145" s="23">
        <v>2</v>
      </c>
      <c r="AE145" s="23">
        <v>2</v>
      </c>
      <c r="AF145" s="23">
        <v>4</v>
      </c>
      <c r="AG145" s="26"/>
      <c r="AH145" s="41">
        <v>10</v>
      </c>
    </row>
    <row r="146" spans="1:34" ht="15.75" customHeight="1" x14ac:dyDescent="0.2">
      <c r="A146" s="289"/>
      <c r="B146" s="284" t="s">
        <v>140</v>
      </c>
      <c r="C146" s="273"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ht="15.75" customHeight="1" x14ac:dyDescent="0.2">
      <c r="A147" s="289"/>
      <c r="B147" s="284"/>
      <c r="C147" s="273"/>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ht="15.75" customHeight="1"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ht="15.75" customHeight="1"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ht="15.75" customHeight="1" x14ac:dyDescent="0.2">
      <c r="A150" s="289"/>
      <c r="B150" s="284"/>
      <c r="C150" s="273"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x14ac:dyDescent="0.2">
      <c r="A151" s="251"/>
      <c r="B151" s="284"/>
      <c r="C151" s="273"/>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300" t="s">
        <v>27</v>
      </c>
      <c r="C152" s="446"/>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273"/>
      <c r="B153" s="284" t="s">
        <v>126</v>
      </c>
      <c r="C153" s="273" t="s">
        <v>26</v>
      </c>
      <c r="D153" s="272" t="s">
        <v>78</v>
      </c>
      <c r="E153" s="254">
        <v>5.0000000000000001E-4</v>
      </c>
      <c r="F153" s="254">
        <v>5.0000000000000001E-4</v>
      </c>
      <c r="G153" s="254">
        <v>5.0000000000000001E-4</v>
      </c>
      <c r="H153" s="254">
        <v>5.0000000000000001E-4</v>
      </c>
      <c r="I153" s="29"/>
      <c r="J153" s="254">
        <v>5.0000000000000001E-4</v>
      </c>
      <c r="K153" s="254">
        <v>5.0000000000000001E-4</v>
      </c>
      <c r="L153" s="254">
        <v>5.0000000000000001E-4</v>
      </c>
      <c r="M153" s="254">
        <v>5.0000000000000001E-4</v>
      </c>
      <c r="N153" s="254">
        <v>5.0000000000000001E-4</v>
      </c>
      <c r="O153" s="26"/>
      <c r="P153" s="254">
        <v>5.0000000000000001E-4</v>
      </c>
      <c r="Q153" s="254">
        <v>5.0000000000000001E-4</v>
      </c>
      <c r="R153" s="254">
        <v>5.0000000000000001E-4</v>
      </c>
      <c r="S153" s="254">
        <v>5.0000000000000001E-4</v>
      </c>
      <c r="T153" s="254">
        <v>5.0000000000000001E-4</v>
      </c>
      <c r="U153" s="26"/>
      <c r="V153" s="254">
        <v>5.0000000000000001E-4</v>
      </c>
      <c r="W153" s="254">
        <v>5.0000000000000001E-4</v>
      </c>
      <c r="X153" s="254">
        <v>5.0000000000000001E-4</v>
      </c>
      <c r="Y153" s="254">
        <v>5.0000000000000001E-4</v>
      </c>
      <c r="Z153" s="254">
        <v>5.0000000000000001E-4</v>
      </c>
      <c r="AA153" s="26"/>
      <c r="AB153" s="254">
        <v>5.0000000000000001E-4</v>
      </c>
      <c r="AC153" s="254">
        <v>5.0000000000000001E-4</v>
      </c>
      <c r="AD153" s="254">
        <v>5.0000000000000001E-4</v>
      </c>
      <c r="AE153" s="254">
        <v>5.0000000000000001E-4</v>
      </c>
      <c r="AF153" s="254">
        <v>5.0000000000000001E-4</v>
      </c>
      <c r="AG153" s="26"/>
      <c r="AH153" s="254">
        <v>5.0000000000000001E-4</v>
      </c>
    </row>
    <row r="154" spans="1:34" ht="15.75" customHeight="1" x14ac:dyDescent="0.2">
      <c r="A154" s="273"/>
      <c r="B154" s="284"/>
      <c r="C154" s="273"/>
      <c r="D154" s="251"/>
      <c r="E154" s="254"/>
      <c r="F154" s="254"/>
      <c r="G154" s="254"/>
      <c r="H154" s="254"/>
      <c r="I154" s="26"/>
      <c r="J154" s="254"/>
      <c r="K154" s="254"/>
      <c r="L154" s="254"/>
      <c r="M154" s="254"/>
      <c r="N154" s="254"/>
      <c r="O154" s="26"/>
      <c r="P154" s="254"/>
      <c r="Q154" s="254"/>
      <c r="R154" s="254"/>
      <c r="S154" s="254"/>
      <c r="T154" s="254"/>
      <c r="U154" s="26"/>
      <c r="V154" s="254"/>
      <c r="W154" s="254"/>
      <c r="X154" s="254"/>
      <c r="Y154" s="254"/>
      <c r="Z154" s="254"/>
      <c r="AA154" s="26"/>
      <c r="AB154" s="254"/>
      <c r="AC154" s="254"/>
      <c r="AD154" s="254"/>
      <c r="AE154" s="254"/>
      <c r="AF154" s="254"/>
      <c r="AG154" s="26"/>
      <c r="AH154" s="254"/>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4">
        <v>5.0000000000000001E-4</v>
      </c>
      <c r="F159" s="254">
        <v>5.0000000000000001E-4</v>
      </c>
      <c r="G159" s="254">
        <v>5.0000000000000001E-4</v>
      </c>
      <c r="H159" s="254">
        <v>5.0000000000000001E-4</v>
      </c>
      <c r="I159" s="26"/>
      <c r="J159" s="254">
        <v>5.0000000000000001E-4</v>
      </c>
      <c r="K159" s="254">
        <v>5.0000000000000001E-4</v>
      </c>
      <c r="L159" s="254">
        <v>5.0000000000000001E-4</v>
      </c>
      <c r="M159" s="254">
        <v>5.0000000000000001E-4</v>
      </c>
      <c r="N159" s="254">
        <v>5.0000000000000001E-4</v>
      </c>
      <c r="O159" s="26"/>
      <c r="P159" s="254">
        <v>5.0000000000000001E-4</v>
      </c>
      <c r="Q159" s="254">
        <v>5.0000000000000001E-4</v>
      </c>
      <c r="R159" s="254">
        <v>5.0000000000000001E-4</v>
      </c>
      <c r="S159" s="254">
        <v>5.0000000000000001E-4</v>
      </c>
      <c r="T159" s="254">
        <v>5.0000000000000001E-4</v>
      </c>
      <c r="U159" s="26"/>
      <c r="V159" s="254">
        <v>5.0000000000000001E-4</v>
      </c>
      <c r="W159" s="254">
        <v>5.0000000000000001E-4</v>
      </c>
      <c r="X159" s="254">
        <v>5.0000000000000001E-4</v>
      </c>
      <c r="Y159" s="254">
        <v>5.0000000000000001E-4</v>
      </c>
      <c r="Z159" s="254">
        <v>5.0000000000000001E-4</v>
      </c>
      <c r="AA159" s="26"/>
      <c r="AB159" s="254">
        <v>5.0000000000000001E-4</v>
      </c>
      <c r="AC159" s="254">
        <v>5.0000000000000001E-4</v>
      </c>
      <c r="AD159" s="254">
        <v>5.0000000000000001E-4</v>
      </c>
      <c r="AE159" s="254">
        <v>5.0000000000000001E-4</v>
      </c>
      <c r="AF159" s="254">
        <v>5.0000000000000001E-4</v>
      </c>
      <c r="AG159" s="26"/>
      <c r="AH159" s="254">
        <v>5.0000000000000001E-4</v>
      </c>
    </row>
    <row r="160" spans="1:34" ht="15.75" customHeight="1" x14ac:dyDescent="0.2">
      <c r="A160" s="273"/>
      <c r="B160" s="284"/>
      <c r="C160" s="273"/>
      <c r="D160" s="251"/>
      <c r="E160" s="254"/>
      <c r="F160" s="254"/>
      <c r="G160" s="254"/>
      <c r="H160" s="254"/>
      <c r="I160" s="26"/>
      <c r="J160" s="254"/>
      <c r="K160" s="254"/>
      <c r="L160" s="254"/>
      <c r="M160" s="254"/>
      <c r="N160" s="254"/>
      <c r="O160" s="26"/>
      <c r="P160" s="254"/>
      <c r="Q160" s="254"/>
      <c r="R160" s="254"/>
      <c r="S160" s="254"/>
      <c r="T160" s="254"/>
      <c r="U160" s="26"/>
      <c r="V160" s="254"/>
      <c r="W160" s="254"/>
      <c r="X160" s="254"/>
      <c r="Y160" s="254"/>
      <c r="Z160" s="254"/>
      <c r="AA160" s="26"/>
      <c r="AB160" s="254"/>
      <c r="AC160" s="254"/>
      <c r="AD160" s="254"/>
      <c r="AE160" s="254"/>
      <c r="AF160" s="254"/>
      <c r="AG160" s="26"/>
      <c r="AH160" s="254"/>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449"/>
      <c r="B171" s="284"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284"/>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284"/>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284"/>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284"/>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284"/>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449"/>
      <c r="B177" s="284"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284"/>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284"/>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284"/>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284"/>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449"/>
      <c r="B182" s="284"/>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20.25" customHeight="1" x14ac:dyDescent="0.2">
      <c r="A183" s="449"/>
      <c r="B183" s="284" t="s">
        <v>89</v>
      </c>
      <c r="C183" s="291" t="s">
        <v>6</v>
      </c>
      <c r="D183" s="272" t="s">
        <v>78</v>
      </c>
      <c r="E183" s="254">
        <v>1E-3</v>
      </c>
      <c r="F183" s="254">
        <v>1E-3</v>
      </c>
      <c r="G183" s="254">
        <v>1E-3</v>
      </c>
      <c r="H183" s="254">
        <v>1E-3</v>
      </c>
      <c r="I183" s="26"/>
      <c r="J183" s="254">
        <v>1E-3</v>
      </c>
      <c r="K183" s="254">
        <v>1E-3</v>
      </c>
      <c r="L183" s="254">
        <v>1E-3</v>
      </c>
      <c r="M183" s="254">
        <v>1E-3</v>
      </c>
      <c r="N183" s="254">
        <v>1E-3</v>
      </c>
      <c r="O183" s="26"/>
      <c r="P183" s="254">
        <v>1E-3</v>
      </c>
      <c r="Q183" s="254">
        <v>1E-3</v>
      </c>
      <c r="R183" s="254">
        <v>1E-3</v>
      </c>
      <c r="S183" s="254">
        <v>1E-3</v>
      </c>
      <c r="T183" s="254">
        <v>1E-3</v>
      </c>
      <c r="U183" s="26"/>
      <c r="V183" s="254">
        <v>1E-3</v>
      </c>
      <c r="W183" s="254">
        <v>1E-3</v>
      </c>
      <c r="X183" s="254">
        <v>1E-3</v>
      </c>
      <c r="Y183" s="254">
        <v>1E-3</v>
      </c>
      <c r="Z183" s="254">
        <v>1E-3</v>
      </c>
      <c r="AA183" s="26"/>
      <c r="AB183" s="254">
        <v>1E-3</v>
      </c>
      <c r="AC183" s="254">
        <v>1E-3</v>
      </c>
      <c r="AD183" s="254">
        <v>1E-3</v>
      </c>
      <c r="AE183" s="254">
        <v>1E-3</v>
      </c>
      <c r="AF183" s="254">
        <v>1E-3</v>
      </c>
      <c r="AG183" s="26"/>
      <c r="AH183" s="254">
        <v>1E-3</v>
      </c>
    </row>
    <row r="184" spans="1:34" ht="15.75" customHeight="1" x14ac:dyDescent="0.2">
      <c r="A184" s="449"/>
      <c r="B184" s="284"/>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284"/>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284"/>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284"/>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284"/>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ht="19.8" customHeight="1" x14ac:dyDescent="0.2">
      <c r="A194" s="43">
        <v>2</v>
      </c>
      <c r="B194" s="279" t="s">
        <v>149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v>0.65229999999999999</v>
      </c>
      <c r="F196" s="254">
        <v>0.65229999999999999</v>
      </c>
      <c r="G196" s="254">
        <v>0.65229999999999999</v>
      </c>
      <c r="H196" s="254">
        <v>0.65229999999999999</v>
      </c>
      <c r="I196" s="45"/>
      <c r="J196" s="254">
        <v>0.65229999999999999</v>
      </c>
      <c r="K196" s="254">
        <v>0.63229999999999997</v>
      </c>
      <c r="L196" s="254">
        <v>0.63229999999999997</v>
      </c>
      <c r="M196" s="254">
        <v>0.63229999999999997</v>
      </c>
      <c r="N196" s="254">
        <v>0.63229999999999997</v>
      </c>
      <c r="O196" s="45"/>
      <c r="P196" s="254">
        <v>0.63229999999999997</v>
      </c>
      <c r="Q196" s="254">
        <v>0.61229999999999996</v>
      </c>
      <c r="R196" s="254">
        <v>0.61229999999999996</v>
      </c>
      <c r="S196" s="254">
        <v>0.61229999999999996</v>
      </c>
      <c r="T196" s="254">
        <v>0.61229999999999996</v>
      </c>
      <c r="U196" s="45"/>
      <c r="V196" s="254">
        <v>0.61229999999999996</v>
      </c>
      <c r="W196" s="254">
        <v>0.59230000000000005</v>
      </c>
      <c r="X196" s="254">
        <v>0.59230000000000005</v>
      </c>
      <c r="Y196" s="254">
        <v>0.59230000000000005</v>
      </c>
      <c r="Z196" s="254">
        <v>0.59230000000000005</v>
      </c>
      <c r="AA196" s="45"/>
      <c r="AB196" s="254">
        <v>0.59230000000000005</v>
      </c>
      <c r="AC196" s="254">
        <v>0.31</v>
      </c>
      <c r="AD196" s="254">
        <v>0.31</v>
      </c>
      <c r="AE196" s="254">
        <v>0.31</v>
      </c>
      <c r="AF196" s="254">
        <v>0.31</v>
      </c>
      <c r="AG196" s="29"/>
      <c r="AH196" s="254">
        <v>0.31</v>
      </c>
    </row>
    <row r="197" spans="1:34" ht="24" customHeight="1" x14ac:dyDescent="0.2">
      <c r="A197" s="289"/>
      <c r="B197" s="288"/>
      <c r="C197" s="288"/>
      <c r="D197" s="273"/>
      <c r="E197" s="254"/>
      <c r="F197" s="254"/>
      <c r="G197" s="254"/>
      <c r="H197" s="254"/>
      <c r="I197" s="45"/>
      <c r="J197" s="254"/>
      <c r="K197" s="254">
        <v>0.56999999999999995</v>
      </c>
      <c r="L197" s="254">
        <v>0.56999999999999995</v>
      </c>
      <c r="M197" s="254">
        <v>0.56999999999999995</v>
      </c>
      <c r="N197" s="254">
        <v>0.56999999999999995</v>
      </c>
      <c r="O197" s="45"/>
      <c r="P197" s="254">
        <v>0.56999999999999995</v>
      </c>
      <c r="Q197" s="254">
        <v>0.56999999999999995</v>
      </c>
      <c r="R197" s="254">
        <v>0.56999999999999995</v>
      </c>
      <c r="S197" s="254">
        <v>0.56999999999999995</v>
      </c>
      <c r="T197" s="254">
        <v>0.56999999999999995</v>
      </c>
      <c r="U197" s="45"/>
      <c r="V197" s="254">
        <v>0.56999999999999995</v>
      </c>
      <c r="W197" s="254">
        <v>0.56999999999999995</v>
      </c>
      <c r="X197" s="254">
        <v>0.56999999999999995</v>
      </c>
      <c r="Y197" s="254">
        <v>0.56999999999999995</v>
      </c>
      <c r="Z197" s="254">
        <v>0.56999999999999995</v>
      </c>
      <c r="AA197" s="45"/>
      <c r="AB197" s="254">
        <v>0.56999999999999995</v>
      </c>
      <c r="AC197" s="254">
        <v>0.56999999999999995</v>
      </c>
      <c r="AD197" s="254">
        <v>0.56999999999999995</v>
      </c>
      <c r="AE197" s="254">
        <v>0.56999999999999995</v>
      </c>
      <c r="AF197" s="254">
        <v>0.56999999999999995</v>
      </c>
      <c r="AG197" s="29"/>
      <c r="AH197" s="254">
        <v>0.56999999999999995</v>
      </c>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22.5" customHeight="1" x14ac:dyDescent="0.2">
      <c r="A200" s="289"/>
      <c r="B200" s="296" t="s">
        <v>147</v>
      </c>
      <c r="C200" s="296"/>
      <c r="D200" s="25" t="s">
        <v>100</v>
      </c>
      <c r="E200" s="250">
        <v>0.1</v>
      </c>
      <c r="F200" s="250">
        <v>0.1</v>
      </c>
      <c r="G200" s="250">
        <v>0.1</v>
      </c>
      <c r="H200" s="250">
        <v>0.1</v>
      </c>
      <c r="I200" s="26"/>
      <c r="J200" s="250">
        <v>0.1</v>
      </c>
      <c r="K200" s="250">
        <v>0.1</v>
      </c>
      <c r="L200" s="250">
        <v>0.1</v>
      </c>
      <c r="M200" s="250">
        <v>0.1</v>
      </c>
      <c r="N200" s="250">
        <v>0.1</v>
      </c>
      <c r="O200" s="26"/>
      <c r="P200" s="250">
        <v>0.1</v>
      </c>
      <c r="Q200" s="250">
        <v>0.1</v>
      </c>
      <c r="R200" s="250">
        <v>0.1</v>
      </c>
      <c r="S200" s="250">
        <v>0.1</v>
      </c>
      <c r="T200" s="250">
        <v>0.1</v>
      </c>
      <c r="U200" s="26"/>
      <c r="V200" s="250">
        <v>0.1</v>
      </c>
      <c r="W200" s="250">
        <v>0.1</v>
      </c>
      <c r="X200" s="250">
        <v>0.1</v>
      </c>
      <c r="Y200" s="250">
        <v>0.1</v>
      </c>
      <c r="Z200" s="250">
        <v>0.1</v>
      </c>
      <c r="AA200" s="26"/>
      <c r="AB200" s="250">
        <v>0.1</v>
      </c>
      <c r="AC200" s="250">
        <v>0.1</v>
      </c>
      <c r="AD200" s="250">
        <v>0.1</v>
      </c>
      <c r="AE200" s="250">
        <v>0.1</v>
      </c>
      <c r="AF200" s="250">
        <v>0.1</v>
      </c>
      <c r="AG200" s="26"/>
      <c r="AH200" s="250">
        <v>0.1</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73"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73"/>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273"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73"/>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73"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73"/>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59.166/56</f>
        <v>1.0565357142857141</v>
      </c>
      <c r="F208" s="249">
        <f>59.166/56</f>
        <v>1.0565357142857141</v>
      </c>
      <c r="G208" s="249">
        <f>59.166/56</f>
        <v>1.0565357142857141</v>
      </c>
      <c r="H208" s="249">
        <f>59.166/56</f>
        <v>1.0565357142857141</v>
      </c>
      <c r="I208" s="19"/>
      <c r="J208" s="249">
        <f>59.166/56</f>
        <v>1.0565357142857141</v>
      </c>
      <c r="K208" s="249">
        <f>59.166/56</f>
        <v>1.0565357142857141</v>
      </c>
      <c r="L208" s="249">
        <f>59.166/56</f>
        <v>1.0565357142857141</v>
      </c>
      <c r="M208" s="249">
        <f>59.166/56</f>
        <v>1.0565357142857141</v>
      </c>
      <c r="N208" s="249">
        <f>59.166/56</f>
        <v>1.0565357142857141</v>
      </c>
      <c r="O208" s="19"/>
      <c r="P208" s="249">
        <f>59.166/56</f>
        <v>1.0565357142857141</v>
      </c>
      <c r="Q208" s="249">
        <f>59.166/56</f>
        <v>1.0565357142857141</v>
      </c>
      <c r="R208" s="249">
        <f>59.166/56</f>
        <v>1.0565357142857141</v>
      </c>
      <c r="S208" s="249">
        <f>59.166/56</f>
        <v>1.0565357142857141</v>
      </c>
      <c r="T208" s="249">
        <f>59.166/56</f>
        <v>1.0565357142857141</v>
      </c>
      <c r="U208" s="19"/>
      <c r="V208" s="249">
        <f>59.166/56</f>
        <v>1.0565357142857141</v>
      </c>
      <c r="W208" s="249">
        <f>59.166/56</f>
        <v>1.0565357142857141</v>
      </c>
      <c r="X208" s="249">
        <f>59.166/56</f>
        <v>1.0565357142857141</v>
      </c>
      <c r="Y208" s="249">
        <f>59.166/56</f>
        <v>1.0565357142857141</v>
      </c>
      <c r="Z208" s="249">
        <f>59.166/56</f>
        <v>1.0565357142857141</v>
      </c>
      <c r="AA208" s="19"/>
      <c r="AB208" s="249">
        <f>59.166/56</f>
        <v>1.0565357142857141</v>
      </c>
      <c r="AC208" s="249">
        <f>59.166/56</f>
        <v>1.0565357142857141</v>
      </c>
      <c r="AD208" s="249">
        <f>59.166/56</f>
        <v>1.0565357142857141</v>
      </c>
      <c r="AE208" s="249">
        <f>59.166/56</f>
        <v>1.0565357142857141</v>
      </c>
      <c r="AF208" s="249">
        <f>59.166/56</f>
        <v>1.0565357142857141</v>
      </c>
      <c r="AG208" s="19"/>
      <c r="AH208" s="249">
        <f>59.166/56</f>
        <v>1.0565357142857141</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53">
        <f>3061/3066</f>
        <v>0.99836921069797779</v>
      </c>
      <c r="F210" s="253">
        <f>3061/3066</f>
        <v>0.99836921069797779</v>
      </c>
      <c r="G210" s="253">
        <f>3061/3066</f>
        <v>0.99836921069797779</v>
      </c>
      <c r="H210" s="253">
        <f>3061/3066</f>
        <v>0.99836921069797779</v>
      </c>
      <c r="I210" s="19"/>
      <c r="J210" s="253">
        <f>3061/3066</f>
        <v>0.99836921069797779</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53"/>
      <c r="F211" s="253"/>
      <c r="G211" s="253"/>
      <c r="H211" s="253"/>
      <c r="I211" s="19"/>
      <c r="J211" s="253"/>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f>41.104/56</f>
        <v>0.73399999999999999</v>
      </c>
      <c r="F213" s="249">
        <f>41.104/56</f>
        <v>0.73399999999999999</v>
      </c>
      <c r="G213" s="249">
        <f>41.104/56</f>
        <v>0.73399999999999999</v>
      </c>
      <c r="H213" s="249">
        <f>41.104/56</f>
        <v>0.73399999999999999</v>
      </c>
      <c r="I213" s="19"/>
      <c r="J213" s="249">
        <f>41.104/56</f>
        <v>0.73399999999999999</v>
      </c>
      <c r="K213" s="249">
        <f>41.104/56</f>
        <v>0.73399999999999999</v>
      </c>
      <c r="L213" s="249">
        <f>41.104/56</f>
        <v>0.73399999999999999</v>
      </c>
      <c r="M213" s="249">
        <f>41.104/56</f>
        <v>0.73399999999999999</v>
      </c>
      <c r="N213" s="249">
        <f>41.104/56</f>
        <v>0.73399999999999999</v>
      </c>
      <c r="O213" s="19"/>
      <c r="P213" s="249">
        <f>41.104/56</f>
        <v>0.73399999999999999</v>
      </c>
      <c r="Q213" s="249">
        <f>41.104/56</f>
        <v>0.73399999999999999</v>
      </c>
      <c r="R213" s="249">
        <f>41.104/56</f>
        <v>0.73399999999999999</v>
      </c>
      <c r="S213" s="249">
        <f>41.104/56</f>
        <v>0.73399999999999999</v>
      </c>
      <c r="T213" s="249">
        <f>41.104/56</f>
        <v>0.73399999999999999</v>
      </c>
      <c r="U213" s="19"/>
      <c r="V213" s="249">
        <f>41.104/56</f>
        <v>0.73399999999999999</v>
      </c>
      <c r="W213" s="249">
        <f>(41.104+9.014)/56</f>
        <v>0.89496428571428566</v>
      </c>
      <c r="X213" s="249">
        <f>(41.104+9.014)/56</f>
        <v>0.89496428571428566</v>
      </c>
      <c r="Y213" s="249">
        <f>(41.104+9.014)/56</f>
        <v>0.89496428571428566</v>
      </c>
      <c r="Z213" s="249">
        <f>(41.104+9.014)/56</f>
        <v>0.89496428571428566</v>
      </c>
      <c r="AA213" s="19"/>
      <c r="AB213" s="249">
        <f>(41.104+9.014)/56</f>
        <v>0.89496428571428566</v>
      </c>
      <c r="AC213" s="249">
        <v>1</v>
      </c>
      <c r="AD213" s="249">
        <v>1</v>
      </c>
      <c r="AE213" s="249">
        <v>1</v>
      </c>
      <c r="AF213" s="249">
        <v>1</v>
      </c>
      <c r="AG213" s="19"/>
      <c r="AH213" s="249">
        <v>1</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41.104/(41.104+9.041)</f>
        <v>0.81970286170106699</v>
      </c>
      <c r="X215" s="249">
        <f>41.104/(41.104+9.041)</f>
        <v>0.81970286170106699</v>
      </c>
      <c r="Y215" s="249">
        <f>41.104/(41.104+9.041)</f>
        <v>0.81970286170106699</v>
      </c>
      <c r="Z215" s="249">
        <f>41.104/(41.104+9.041)</f>
        <v>0.81970286170106699</v>
      </c>
      <c r="AA215" s="19"/>
      <c r="AB215" s="249">
        <f>41.104/(41.104+9.041)</f>
        <v>0.81970286170106699</v>
      </c>
      <c r="AC215" s="249">
        <v>1</v>
      </c>
      <c r="AD215" s="249">
        <v>1</v>
      </c>
      <c r="AE215" s="249">
        <v>1</v>
      </c>
      <c r="AF215" s="249">
        <v>1</v>
      </c>
      <c r="AG215" s="19"/>
      <c r="AH215" s="249">
        <v>1</v>
      </c>
    </row>
    <row r="216" spans="1:34"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0.1</v>
      </c>
      <c r="F217" s="250">
        <v>0.1</v>
      </c>
      <c r="G217" s="250">
        <v>0.1</v>
      </c>
      <c r="H217" s="250">
        <v>0.1</v>
      </c>
      <c r="I217" s="26"/>
      <c r="J217" s="250">
        <v>0.1</v>
      </c>
      <c r="K217" s="250">
        <v>0.1</v>
      </c>
      <c r="L217" s="250">
        <v>0.1</v>
      </c>
      <c r="M217" s="250">
        <v>0.1</v>
      </c>
      <c r="N217" s="250">
        <v>0.1</v>
      </c>
      <c r="O217" s="26"/>
      <c r="P217" s="250">
        <v>0.1</v>
      </c>
      <c r="Q217" s="250">
        <v>0.1</v>
      </c>
      <c r="R217" s="250">
        <v>0.1</v>
      </c>
      <c r="S217" s="250">
        <v>0.1</v>
      </c>
      <c r="T217" s="250">
        <v>0.1</v>
      </c>
      <c r="U217" s="26"/>
      <c r="V217" s="250">
        <v>0.1</v>
      </c>
      <c r="W217" s="250">
        <v>0.1</v>
      </c>
      <c r="X217" s="250">
        <v>0.1</v>
      </c>
      <c r="Y217" s="250">
        <v>0.1</v>
      </c>
      <c r="Z217" s="250">
        <v>0.1</v>
      </c>
      <c r="AA217" s="26"/>
      <c r="AB217" s="250">
        <v>0.1</v>
      </c>
      <c r="AC217" s="250">
        <v>0.1</v>
      </c>
      <c r="AD217" s="250">
        <v>0.1</v>
      </c>
      <c r="AE217" s="250">
        <v>0.1</v>
      </c>
      <c r="AF217" s="250">
        <v>0.1</v>
      </c>
      <c r="AG217" s="26"/>
      <c r="AH217" s="250">
        <v>0.1</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79" t="s">
        <v>105</v>
      </c>
      <c r="C225" s="505"/>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2"/>
    </row>
    <row r="226" spans="1:34" ht="15.75" customHeight="1" x14ac:dyDescent="0.2">
      <c r="A226" s="289"/>
      <c r="B226" s="284" t="s">
        <v>45</v>
      </c>
      <c r="C226" s="284"/>
      <c r="D226" s="25" t="s">
        <v>101</v>
      </c>
      <c r="E226" s="23">
        <v>3072</v>
      </c>
      <c r="F226" s="23">
        <v>3078</v>
      </c>
      <c r="G226" s="23">
        <v>3083</v>
      </c>
      <c r="H226" s="23">
        <v>3089</v>
      </c>
      <c r="I226" s="41"/>
      <c r="J226" s="41">
        <v>3089</v>
      </c>
      <c r="K226" s="23">
        <v>3095</v>
      </c>
      <c r="L226" s="23">
        <v>3101</v>
      </c>
      <c r="M226" s="23">
        <v>3106</v>
      </c>
      <c r="N226" s="23">
        <v>3112</v>
      </c>
      <c r="O226" s="41"/>
      <c r="P226" s="41">
        <v>3112</v>
      </c>
      <c r="Q226" s="23">
        <v>3118</v>
      </c>
      <c r="R226" s="23">
        <v>3124</v>
      </c>
      <c r="S226" s="23">
        <v>3129</v>
      </c>
      <c r="T226" s="23">
        <v>3135</v>
      </c>
      <c r="U226" s="23"/>
      <c r="V226" s="41">
        <v>3135</v>
      </c>
      <c r="W226" s="23">
        <v>3141</v>
      </c>
      <c r="X226" s="23">
        <v>3147</v>
      </c>
      <c r="Y226" s="23">
        <v>3152</v>
      </c>
      <c r="Z226" s="23">
        <v>3158</v>
      </c>
      <c r="AA226" s="41"/>
      <c r="AB226" s="93">
        <v>3158</v>
      </c>
      <c r="AC226" s="23">
        <v>3164</v>
      </c>
      <c r="AD226" s="23">
        <v>3170</v>
      </c>
      <c r="AE226" s="23">
        <v>3175</v>
      </c>
      <c r="AF226" s="23">
        <v>3181</v>
      </c>
      <c r="AG226" s="41"/>
      <c r="AH226" s="93">
        <v>3181</v>
      </c>
    </row>
    <row r="227" spans="1:34" x14ac:dyDescent="0.2">
      <c r="A227" s="289"/>
      <c r="B227" s="284"/>
      <c r="C227" s="284"/>
      <c r="D227" s="25" t="s">
        <v>32</v>
      </c>
      <c r="E227" s="26">
        <v>59.165999999999997</v>
      </c>
      <c r="F227" s="26">
        <v>59.165999999999997</v>
      </c>
      <c r="G227" s="26">
        <v>59.165999999999997</v>
      </c>
      <c r="H227" s="26">
        <v>59.165999999999997</v>
      </c>
      <c r="I227" s="26"/>
      <c r="J227" s="26">
        <v>59.165999999999997</v>
      </c>
      <c r="K227" s="26">
        <v>59.165999999999997</v>
      </c>
      <c r="L227" s="26">
        <v>59.165999999999997</v>
      </c>
      <c r="M227" s="26">
        <v>59.165999999999997</v>
      </c>
      <c r="N227" s="26">
        <v>59.165999999999997</v>
      </c>
      <c r="O227" s="26"/>
      <c r="P227" s="26">
        <v>59.165999999999997</v>
      </c>
      <c r="Q227" s="26">
        <v>59.165999999999997</v>
      </c>
      <c r="R227" s="26">
        <v>59.165999999999997</v>
      </c>
      <c r="S227" s="26">
        <v>59.165999999999997</v>
      </c>
      <c r="T227" s="26">
        <v>59.165999999999997</v>
      </c>
      <c r="U227" s="44"/>
      <c r="V227" s="26">
        <v>59.165999999999997</v>
      </c>
      <c r="W227" s="26">
        <v>59.165999999999997</v>
      </c>
      <c r="X227" s="26">
        <v>59.165999999999997</v>
      </c>
      <c r="Y227" s="26">
        <v>59.165999999999997</v>
      </c>
      <c r="Z227" s="26">
        <v>59.165999999999997</v>
      </c>
      <c r="AA227" s="26"/>
      <c r="AB227" s="26">
        <v>59.165999999999997</v>
      </c>
      <c r="AC227" s="26">
        <v>59.165999999999997</v>
      </c>
      <c r="AD227" s="26">
        <v>59.165999999999997</v>
      </c>
      <c r="AE227" s="26">
        <v>59.165999999999997</v>
      </c>
      <c r="AF227" s="26">
        <v>59.165999999999997</v>
      </c>
      <c r="AG227" s="26"/>
      <c r="AH227" s="26">
        <v>59.165999999999997</v>
      </c>
    </row>
    <row r="228" spans="1:34" ht="15.75" customHeight="1" x14ac:dyDescent="0.2">
      <c r="A228" s="289"/>
      <c r="B228" s="284" t="s">
        <v>46</v>
      </c>
      <c r="C228" s="284"/>
      <c r="D228" s="25" t="s">
        <v>32</v>
      </c>
      <c r="E228" s="26">
        <v>59.165999999999997</v>
      </c>
      <c r="F228" s="26">
        <v>59.165999999999997</v>
      </c>
      <c r="G228" s="26">
        <v>59.165999999999997</v>
      </c>
      <c r="H228" s="26">
        <v>59.165999999999997</v>
      </c>
      <c r="I228" s="26"/>
      <c r="J228" s="26">
        <v>59.165999999999997</v>
      </c>
      <c r="K228" s="26">
        <v>59.165999999999997</v>
      </c>
      <c r="L228" s="26">
        <v>59.165999999999997</v>
      </c>
      <c r="M228" s="26">
        <v>59.165999999999997</v>
      </c>
      <c r="N228" s="26">
        <v>59.165999999999997</v>
      </c>
      <c r="O228" s="26"/>
      <c r="P228" s="26">
        <v>59.165999999999997</v>
      </c>
      <c r="Q228" s="26">
        <v>59.165999999999997</v>
      </c>
      <c r="R228" s="26">
        <v>59.165999999999997</v>
      </c>
      <c r="S228" s="26">
        <v>59.165999999999997</v>
      </c>
      <c r="T228" s="26">
        <v>59.165999999999997</v>
      </c>
      <c r="U228" s="44"/>
      <c r="V228" s="26">
        <v>59.165999999999997</v>
      </c>
      <c r="W228" s="26">
        <v>59.165999999999997</v>
      </c>
      <c r="X228" s="26">
        <v>59.165999999999997</v>
      </c>
      <c r="Y228" s="26">
        <v>59.165999999999997</v>
      </c>
      <c r="Z228" s="26">
        <v>59.165999999999997</v>
      </c>
      <c r="AA228" s="26"/>
      <c r="AB228" s="26">
        <v>59.165999999999997</v>
      </c>
      <c r="AC228" s="26">
        <v>59.165999999999997</v>
      </c>
      <c r="AD228" s="26">
        <v>59.165999999999997</v>
      </c>
      <c r="AE228" s="26">
        <v>59.165999999999997</v>
      </c>
      <c r="AF228" s="26">
        <v>59.165999999999997</v>
      </c>
      <c r="AG228" s="26"/>
      <c r="AH228" s="26">
        <v>59.165999999999997</v>
      </c>
    </row>
    <row r="229" spans="1:34" x14ac:dyDescent="0.2">
      <c r="A229" s="289"/>
      <c r="B229" s="284"/>
      <c r="C229" s="284"/>
      <c r="D229" s="25" t="s">
        <v>143</v>
      </c>
      <c r="E229" s="24">
        <v>9588.6525000000001</v>
      </c>
      <c r="F229" s="24">
        <v>9598.7649999999994</v>
      </c>
      <c r="G229" s="24">
        <v>9608.8775000000005</v>
      </c>
      <c r="H229" s="24">
        <v>9618.99</v>
      </c>
      <c r="I229" s="41"/>
      <c r="J229" s="41">
        <v>9618.99</v>
      </c>
      <c r="K229" s="51">
        <v>9629.1025000000009</v>
      </c>
      <c r="L229" s="51">
        <v>9639.2150000000001</v>
      </c>
      <c r="M229" s="51">
        <v>9649.3274999999994</v>
      </c>
      <c r="N229" s="51">
        <v>9659.44</v>
      </c>
      <c r="O229" s="41"/>
      <c r="P229" s="41">
        <v>9659.44</v>
      </c>
      <c r="Q229" s="51">
        <v>9669.2175000000007</v>
      </c>
      <c r="R229" s="51">
        <v>9678.9950000000008</v>
      </c>
      <c r="S229" s="51">
        <v>9688.7724999999991</v>
      </c>
      <c r="T229" s="51">
        <v>9698.5499999999993</v>
      </c>
      <c r="U229" s="51"/>
      <c r="V229" s="41">
        <v>9698.5499999999993</v>
      </c>
      <c r="W229" s="51">
        <v>9707.9925000000003</v>
      </c>
      <c r="X229" s="51">
        <v>9717.4349999999995</v>
      </c>
      <c r="Y229" s="51">
        <v>9726.8775000000005</v>
      </c>
      <c r="Z229" s="51">
        <v>9736.32</v>
      </c>
      <c r="AA229" s="41"/>
      <c r="AB229" s="41">
        <v>9736.32</v>
      </c>
      <c r="AC229" s="41">
        <v>9736.32</v>
      </c>
      <c r="AD229" s="41">
        <v>9736.32</v>
      </c>
      <c r="AE229" s="41">
        <v>9736.32</v>
      </c>
      <c r="AF229" s="41">
        <v>9736.32</v>
      </c>
      <c r="AG229" s="41"/>
      <c r="AH229" s="41">
        <v>9736.32</v>
      </c>
    </row>
    <row r="230" spans="1:34" ht="15.75" customHeight="1" x14ac:dyDescent="0.2">
      <c r="A230" s="289"/>
      <c r="B230" s="284" t="s">
        <v>47</v>
      </c>
      <c r="C230" s="284"/>
      <c r="D230" s="25" t="s">
        <v>32</v>
      </c>
      <c r="E230" s="26">
        <v>60.566000000000003</v>
      </c>
      <c r="F230" s="26">
        <v>60.566000000000003</v>
      </c>
      <c r="G230" s="26">
        <v>60.566000000000003</v>
      </c>
      <c r="H230" s="26">
        <v>60.566000000000003</v>
      </c>
      <c r="I230" s="41"/>
      <c r="J230" s="26">
        <v>60.566000000000003</v>
      </c>
      <c r="K230" s="26">
        <v>60.566000000000003</v>
      </c>
      <c r="L230" s="26">
        <v>60.566000000000003</v>
      </c>
      <c r="M230" s="26">
        <v>60.566000000000003</v>
      </c>
      <c r="N230" s="26">
        <v>60.566000000000003</v>
      </c>
      <c r="O230" s="41"/>
      <c r="P230" s="26">
        <v>60.566000000000003</v>
      </c>
      <c r="Q230" s="26">
        <v>60.566000000000003</v>
      </c>
      <c r="R230" s="26">
        <v>60.566000000000003</v>
      </c>
      <c r="S230" s="26">
        <v>60.566000000000003</v>
      </c>
      <c r="T230" s="26">
        <v>60.566000000000003</v>
      </c>
      <c r="U230" s="24"/>
      <c r="V230" s="26">
        <v>60.566000000000003</v>
      </c>
      <c r="W230" s="26">
        <v>60.566000000000003</v>
      </c>
      <c r="X230" s="26">
        <v>60.566000000000003</v>
      </c>
      <c r="Y230" s="26">
        <v>60.566000000000003</v>
      </c>
      <c r="Z230" s="26">
        <v>60.566000000000003</v>
      </c>
      <c r="AA230" s="41"/>
      <c r="AB230" s="26">
        <v>60.566000000000003</v>
      </c>
      <c r="AC230" s="26">
        <v>60.566000000000003</v>
      </c>
      <c r="AD230" s="26">
        <v>60.566000000000003</v>
      </c>
      <c r="AE230" s="26">
        <v>60.566000000000003</v>
      </c>
      <c r="AF230" s="26">
        <v>60.566000000000003</v>
      </c>
      <c r="AG230" s="41"/>
      <c r="AH230" s="26">
        <v>60.566000000000003</v>
      </c>
    </row>
    <row r="231" spans="1:34" x14ac:dyDescent="0.2">
      <c r="A231" s="289"/>
      <c r="B231" s="284"/>
      <c r="C231" s="284"/>
      <c r="D231" s="25" t="s">
        <v>143</v>
      </c>
      <c r="E231" s="24">
        <v>9588.6525000000001</v>
      </c>
      <c r="F231" s="24">
        <v>9598.7649999999994</v>
      </c>
      <c r="G231" s="24">
        <v>9608.8775000000005</v>
      </c>
      <c r="H231" s="24">
        <v>9618.99</v>
      </c>
      <c r="I231" s="41"/>
      <c r="J231" s="41">
        <v>9618.99</v>
      </c>
      <c r="K231" s="51">
        <v>9629.1025000000009</v>
      </c>
      <c r="L231" s="51">
        <v>9639.2150000000001</v>
      </c>
      <c r="M231" s="51">
        <v>9649.3274999999994</v>
      </c>
      <c r="N231" s="51">
        <v>9659.44</v>
      </c>
      <c r="O231" s="41"/>
      <c r="P231" s="41">
        <v>9659.44</v>
      </c>
      <c r="Q231" s="51">
        <v>9669.2175000000007</v>
      </c>
      <c r="R231" s="51">
        <v>9678.9950000000008</v>
      </c>
      <c r="S231" s="51">
        <v>9688.7724999999991</v>
      </c>
      <c r="T231" s="51">
        <v>9698.5499999999993</v>
      </c>
      <c r="U231" s="51"/>
      <c r="V231" s="41">
        <v>9698.5499999999993</v>
      </c>
      <c r="W231" s="51">
        <v>9707.9925000000003</v>
      </c>
      <c r="X231" s="51">
        <v>9717.4349999999995</v>
      </c>
      <c r="Y231" s="51">
        <v>9726.8775000000005</v>
      </c>
      <c r="Z231" s="51">
        <v>9736.32</v>
      </c>
      <c r="AA231" s="41"/>
      <c r="AB231" s="41">
        <v>9736.32</v>
      </c>
      <c r="AC231" s="41">
        <v>9736.32</v>
      </c>
      <c r="AD231" s="41">
        <v>9736.32</v>
      </c>
      <c r="AE231" s="41">
        <v>9736.32</v>
      </c>
      <c r="AF231" s="41">
        <v>9736.32</v>
      </c>
      <c r="AG231" s="41"/>
      <c r="AH231" s="41">
        <v>9736.32</v>
      </c>
    </row>
    <row r="232" spans="1:34" x14ac:dyDescent="0.2">
      <c r="A232" s="289"/>
      <c r="B232" s="284" t="s">
        <v>36</v>
      </c>
      <c r="C232" s="284"/>
      <c r="D232" s="25" t="s">
        <v>144</v>
      </c>
      <c r="E232" s="23">
        <v>1188</v>
      </c>
      <c r="F232" s="23">
        <v>1205</v>
      </c>
      <c r="G232" s="23">
        <v>1221</v>
      </c>
      <c r="H232" s="23">
        <v>1238</v>
      </c>
      <c r="I232" s="41"/>
      <c r="J232" s="41">
        <v>1238</v>
      </c>
      <c r="K232" s="23">
        <v>1255</v>
      </c>
      <c r="L232" s="23">
        <v>1272</v>
      </c>
      <c r="M232" s="23">
        <v>1288</v>
      </c>
      <c r="N232" s="23">
        <v>1305</v>
      </c>
      <c r="O232" s="41"/>
      <c r="P232" s="41">
        <v>1305</v>
      </c>
      <c r="Q232" s="23">
        <v>1322</v>
      </c>
      <c r="R232" s="23">
        <v>1339</v>
      </c>
      <c r="S232" s="23">
        <v>1355</v>
      </c>
      <c r="T232" s="23">
        <v>1372</v>
      </c>
      <c r="U232" s="41"/>
      <c r="V232" s="41">
        <v>1372</v>
      </c>
      <c r="W232" s="23">
        <v>1389</v>
      </c>
      <c r="X232" s="23">
        <v>1407</v>
      </c>
      <c r="Y232" s="23">
        <v>1424</v>
      </c>
      <c r="Z232" s="23">
        <v>1441</v>
      </c>
      <c r="AA232" s="41"/>
      <c r="AB232" s="41">
        <v>1441</v>
      </c>
      <c r="AC232" s="23">
        <v>1458</v>
      </c>
      <c r="AD232" s="23">
        <v>1475</v>
      </c>
      <c r="AE232" s="23">
        <v>1491</v>
      </c>
      <c r="AF232" s="23">
        <v>1508</v>
      </c>
      <c r="AG232" s="41"/>
      <c r="AH232" s="41">
        <v>1508</v>
      </c>
    </row>
    <row r="233" spans="1:34" x14ac:dyDescent="0.2">
      <c r="A233" s="289"/>
      <c r="B233" s="284"/>
      <c r="C233" s="284"/>
      <c r="D233" s="25" t="s">
        <v>32</v>
      </c>
      <c r="E233" s="26">
        <v>41.103999999999999</v>
      </c>
      <c r="F233" s="26">
        <v>41.103999999999999</v>
      </c>
      <c r="G233" s="26">
        <v>41.103999999999999</v>
      </c>
      <c r="H233" s="26">
        <v>41.103999999999999</v>
      </c>
      <c r="I233" s="41"/>
      <c r="J233" s="26">
        <v>41.103999999999999</v>
      </c>
      <c r="K233" s="26">
        <v>41.103999999999999</v>
      </c>
      <c r="L233" s="26">
        <v>41.103999999999999</v>
      </c>
      <c r="M233" s="26">
        <v>41.103999999999999</v>
      </c>
      <c r="N233" s="26">
        <v>41.103999999999999</v>
      </c>
      <c r="O233" s="41"/>
      <c r="P233" s="26">
        <v>41.103999999999999</v>
      </c>
      <c r="Q233" s="26">
        <v>41.103999999999999</v>
      </c>
      <c r="R233" s="26">
        <v>41.103999999999999</v>
      </c>
      <c r="S233" s="26">
        <v>41.103999999999999</v>
      </c>
      <c r="T233" s="26">
        <v>41.103999999999999</v>
      </c>
      <c r="U233" s="41"/>
      <c r="V233" s="26">
        <v>41.103999999999999</v>
      </c>
      <c r="W233" s="26">
        <f>41.104+9.041</f>
        <v>50.144999999999996</v>
      </c>
      <c r="X233" s="26">
        <f>41.104+9.041</f>
        <v>50.144999999999996</v>
      </c>
      <c r="Y233" s="26">
        <f>41.104+9.041</f>
        <v>50.144999999999996</v>
      </c>
      <c r="Z233" s="26">
        <f>41.104+9.041</f>
        <v>50.144999999999996</v>
      </c>
      <c r="AA233" s="41"/>
      <c r="AB233" s="26">
        <f>41.104+9.041</f>
        <v>50.144999999999996</v>
      </c>
      <c r="AC233" s="26">
        <f>41.104+9.041</f>
        <v>50.144999999999996</v>
      </c>
      <c r="AD233" s="26">
        <f>41.104+9.041</f>
        <v>50.144999999999996</v>
      </c>
      <c r="AE233" s="26">
        <f>41.104+9.041</f>
        <v>50.144999999999996</v>
      </c>
      <c r="AF233" s="26">
        <f>41.104+9.041</f>
        <v>50.144999999999996</v>
      </c>
      <c r="AG233" s="41"/>
      <c r="AH233" s="26">
        <f>41.104+9.041</f>
        <v>50.144999999999996</v>
      </c>
    </row>
    <row r="234" spans="1:34" x14ac:dyDescent="0.2">
      <c r="A234" s="289"/>
      <c r="B234" s="284" t="s">
        <v>48</v>
      </c>
      <c r="C234" s="284"/>
      <c r="D234" s="24" t="s">
        <v>143</v>
      </c>
      <c r="E234" s="35">
        <v>5847.0825000000004</v>
      </c>
      <c r="F234" s="35">
        <v>5863.2250000000004</v>
      </c>
      <c r="G234" s="35">
        <v>5879.3675000000003</v>
      </c>
      <c r="H234" s="35">
        <v>5895.51</v>
      </c>
      <c r="I234" s="35"/>
      <c r="J234" s="35">
        <v>5895.51</v>
      </c>
      <c r="K234" s="35">
        <v>5911.6525000000001</v>
      </c>
      <c r="L234" s="35">
        <v>5927.7950000000001</v>
      </c>
      <c r="M234" s="35">
        <v>5943.9375</v>
      </c>
      <c r="N234" s="35">
        <v>5960.08</v>
      </c>
      <c r="O234" s="35"/>
      <c r="P234" s="35">
        <v>5960.08</v>
      </c>
      <c r="Q234" s="35">
        <v>5975.8874999999998</v>
      </c>
      <c r="R234" s="35">
        <v>5991.6949999999997</v>
      </c>
      <c r="S234" s="35">
        <v>6007.5024999999996</v>
      </c>
      <c r="T234" s="35">
        <v>6023.31</v>
      </c>
      <c r="U234" s="35"/>
      <c r="V234" s="35">
        <v>6023.31</v>
      </c>
      <c r="W234" s="35">
        <v>6799.4324999999999</v>
      </c>
      <c r="X234" s="35">
        <v>7575.5550000000003</v>
      </c>
      <c r="Y234" s="35">
        <v>8351.6774999999998</v>
      </c>
      <c r="Z234" s="35">
        <v>9127.7999999999993</v>
      </c>
      <c r="AA234" s="35"/>
      <c r="AB234" s="35">
        <v>9127.7999999999993</v>
      </c>
      <c r="AC234" s="35">
        <v>9150</v>
      </c>
      <c r="AD234" s="35">
        <v>9190</v>
      </c>
      <c r="AE234" s="35">
        <v>9220</v>
      </c>
      <c r="AF234" s="35">
        <v>9269</v>
      </c>
      <c r="AG234" s="35"/>
      <c r="AH234" s="35">
        <v>9269</v>
      </c>
    </row>
    <row r="235" spans="1:34" x14ac:dyDescent="0.2">
      <c r="A235" s="289"/>
      <c r="B235" s="284"/>
      <c r="C235" s="284"/>
      <c r="D235" s="24" t="s">
        <v>143</v>
      </c>
      <c r="E235" s="23">
        <v>10343</v>
      </c>
      <c r="F235" s="23">
        <v>10343</v>
      </c>
      <c r="G235" s="23">
        <v>10343</v>
      </c>
      <c r="H235" s="23">
        <v>10343</v>
      </c>
      <c r="I235" s="41"/>
      <c r="J235" s="41">
        <f>10410-67</f>
        <v>10343</v>
      </c>
      <c r="K235" s="23">
        <v>10276</v>
      </c>
      <c r="L235" s="23">
        <v>10276</v>
      </c>
      <c r="M235" s="23">
        <v>10276</v>
      </c>
      <c r="N235" s="23">
        <v>10276</v>
      </c>
      <c r="O235" s="41"/>
      <c r="P235" s="41">
        <f>J235-67</f>
        <v>10276</v>
      </c>
      <c r="Q235" s="23">
        <v>10209</v>
      </c>
      <c r="R235" s="23">
        <v>10209</v>
      </c>
      <c r="S235" s="23">
        <v>10209</v>
      </c>
      <c r="T235" s="23">
        <v>10209</v>
      </c>
      <c r="U235" s="41"/>
      <c r="V235" s="41">
        <f>P235-67</f>
        <v>10209</v>
      </c>
      <c r="W235" s="23">
        <v>10142</v>
      </c>
      <c r="X235" s="23">
        <v>10142</v>
      </c>
      <c r="Y235" s="23">
        <v>10142</v>
      </c>
      <c r="Z235" s="23">
        <v>10142</v>
      </c>
      <c r="AA235" s="41"/>
      <c r="AB235" s="41">
        <f>V235-67</f>
        <v>10142</v>
      </c>
      <c r="AC235" s="23">
        <v>10075</v>
      </c>
      <c r="AD235" s="23">
        <v>10075</v>
      </c>
      <c r="AE235" s="23">
        <v>10075</v>
      </c>
      <c r="AF235" s="23">
        <v>10075</v>
      </c>
      <c r="AG235" s="41"/>
      <c r="AH235" s="41">
        <f>AB235-67</f>
        <v>10075</v>
      </c>
    </row>
    <row r="236" spans="1:34" x14ac:dyDescent="0.2">
      <c r="A236" s="17">
        <v>3.2</v>
      </c>
      <c r="B236" s="448" t="s">
        <v>37</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23"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289" t="s">
        <v>7</v>
      </c>
      <c r="D239" s="273" t="s">
        <v>78</v>
      </c>
      <c r="E239" s="252">
        <v>0.01</v>
      </c>
      <c r="F239" s="252">
        <v>0.01</v>
      </c>
      <c r="G239" s="252">
        <v>0.01</v>
      </c>
      <c r="H239" s="252">
        <v>0.01</v>
      </c>
      <c r="I239" s="45"/>
      <c r="J239" s="252">
        <v>0.01</v>
      </c>
      <c r="K239" s="252">
        <v>0.01</v>
      </c>
      <c r="L239" s="252">
        <v>0.01</v>
      </c>
      <c r="M239" s="252">
        <v>0.01</v>
      </c>
      <c r="N239" s="252">
        <v>0.01</v>
      </c>
      <c r="O239" s="45"/>
      <c r="P239" s="252">
        <v>0.01</v>
      </c>
      <c r="Q239" s="252">
        <v>0.01</v>
      </c>
      <c r="R239" s="252">
        <v>0.01</v>
      </c>
      <c r="S239" s="252">
        <v>0.01</v>
      </c>
      <c r="T239" s="252">
        <v>0.01</v>
      </c>
      <c r="U239" s="45"/>
      <c r="V239" s="252">
        <v>0.01</v>
      </c>
      <c r="W239" s="252">
        <v>0.01</v>
      </c>
      <c r="X239" s="252">
        <v>0.01</v>
      </c>
      <c r="Y239" s="252">
        <v>0.01</v>
      </c>
      <c r="Z239" s="252">
        <v>0.01</v>
      </c>
      <c r="AA239" s="45"/>
      <c r="AB239" s="252">
        <v>0.01</v>
      </c>
      <c r="AC239" s="252">
        <v>0.01</v>
      </c>
      <c r="AD239" s="252">
        <v>0.01</v>
      </c>
      <c r="AE239" s="252">
        <v>0.01</v>
      </c>
      <c r="AF239" s="252">
        <v>0.01</v>
      </c>
      <c r="AG239" s="45"/>
      <c r="AH239" s="252">
        <v>0.01</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289" t="s">
        <v>8</v>
      </c>
      <c r="D241" s="273" t="s">
        <v>78</v>
      </c>
      <c r="E241" s="252">
        <v>0.01</v>
      </c>
      <c r="F241" s="252">
        <v>0.01</v>
      </c>
      <c r="G241" s="252">
        <v>0.01</v>
      </c>
      <c r="H241" s="252">
        <v>0.01</v>
      </c>
      <c r="I241" s="45"/>
      <c r="J241" s="252">
        <v>0.01</v>
      </c>
      <c r="K241" s="252">
        <v>0.01</v>
      </c>
      <c r="L241" s="252">
        <v>0.01</v>
      </c>
      <c r="M241" s="252">
        <v>0.01</v>
      </c>
      <c r="N241" s="252">
        <v>0.01</v>
      </c>
      <c r="O241" s="45"/>
      <c r="P241" s="252">
        <v>0.01</v>
      </c>
      <c r="Q241" s="252">
        <v>0.01</v>
      </c>
      <c r="R241" s="252">
        <v>0.01</v>
      </c>
      <c r="S241" s="252">
        <v>0.01</v>
      </c>
      <c r="T241" s="252">
        <v>0.01</v>
      </c>
      <c r="U241" s="45"/>
      <c r="V241" s="252">
        <v>0.01</v>
      </c>
      <c r="W241" s="252">
        <v>0.01</v>
      </c>
      <c r="X241" s="252">
        <v>0.01</v>
      </c>
      <c r="Y241" s="252">
        <v>0.01</v>
      </c>
      <c r="Z241" s="252">
        <v>0.01</v>
      </c>
      <c r="AA241" s="45"/>
      <c r="AB241" s="252">
        <v>0.01</v>
      </c>
      <c r="AC241" s="252">
        <v>0.01</v>
      </c>
      <c r="AD241" s="252">
        <v>0.01</v>
      </c>
      <c r="AE241" s="252">
        <v>0.01</v>
      </c>
      <c r="AF241" s="252">
        <v>0.01</v>
      </c>
      <c r="AG241" s="45"/>
      <c r="AH241" s="252">
        <v>0.01</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289"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289"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273"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273"/>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273" t="s">
        <v>7</v>
      </c>
      <c r="D251" s="273" t="s">
        <v>78</v>
      </c>
      <c r="E251" s="252">
        <v>0.02</v>
      </c>
      <c r="F251" s="252">
        <v>0.02</v>
      </c>
      <c r="G251" s="252">
        <v>0.02</v>
      </c>
      <c r="H251" s="252">
        <v>0.02</v>
      </c>
      <c r="I251" s="45"/>
      <c r="J251" s="252">
        <v>0.02</v>
      </c>
      <c r="K251" s="252">
        <v>0.02</v>
      </c>
      <c r="L251" s="252">
        <v>0.02</v>
      </c>
      <c r="M251" s="252">
        <v>0.02</v>
      </c>
      <c r="N251" s="252">
        <v>0.02</v>
      </c>
      <c r="O251" s="45"/>
      <c r="P251" s="252">
        <v>0.02</v>
      </c>
      <c r="Q251" s="252">
        <v>0.02</v>
      </c>
      <c r="R251" s="252">
        <v>0.02</v>
      </c>
      <c r="S251" s="252">
        <v>0.02</v>
      </c>
      <c r="T251" s="252">
        <v>0.02</v>
      </c>
      <c r="U251" s="45"/>
      <c r="V251" s="252">
        <v>0.02</v>
      </c>
      <c r="W251" s="252">
        <v>0.02</v>
      </c>
      <c r="X251" s="252">
        <v>0.02</v>
      </c>
      <c r="Y251" s="252">
        <v>0.02</v>
      </c>
      <c r="Z251" s="252">
        <v>0.02</v>
      </c>
      <c r="AA251" s="45"/>
      <c r="AB251" s="252">
        <v>0.02</v>
      </c>
      <c r="AC251" s="252">
        <v>0.02</v>
      </c>
      <c r="AD251" s="252">
        <v>0.02</v>
      </c>
      <c r="AE251" s="252">
        <v>0.02</v>
      </c>
      <c r="AF251" s="252">
        <v>0.02</v>
      </c>
      <c r="AG251" s="45"/>
      <c r="AH251" s="252">
        <v>0.02</v>
      </c>
    </row>
    <row r="252" spans="1:34" ht="15.75" customHeight="1" x14ac:dyDescent="0.2">
      <c r="A252" s="265"/>
      <c r="B252" s="284"/>
      <c r="C252" s="273"/>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273" t="s">
        <v>8</v>
      </c>
      <c r="D253" s="273" t="s">
        <v>78</v>
      </c>
      <c r="E253" s="252">
        <v>0.03</v>
      </c>
      <c r="F253" s="252">
        <v>0.03</v>
      </c>
      <c r="G253" s="252">
        <v>0.03</v>
      </c>
      <c r="H253" s="252">
        <v>0.03</v>
      </c>
      <c r="I253" s="45"/>
      <c r="J253" s="252">
        <v>0.03</v>
      </c>
      <c r="K253" s="252">
        <v>0.03</v>
      </c>
      <c r="L253" s="252">
        <v>0.03</v>
      </c>
      <c r="M253" s="252">
        <v>0.03</v>
      </c>
      <c r="N253" s="252">
        <v>0.03</v>
      </c>
      <c r="O253" s="45"/>
      <c r="P253" s="252">
        <v>0.03</v>
      </c>
      <c r="Q253" s="252">
        <v>0.03</v>
      </c>
      <c r="R253" s="252">
        <v>0.03</v>
      </c>
      <c r="S253" s="252">
        <v>0.03</v>
      </c>
      <c r="T253" s="252">
        <v>0.03</v>
      </c>
      <c r="U253" s="45"/>
      <c r="V253" s="252">
        <v>0.03</v>
      </c>
      <c r="W253" s="252">
        <v>0.03</v>
      </c>
      <c r="X253" s="252">
        <v>0.03</v>
      </c>
      <c r="Y253" s="252">
        <v>0.03</v>
      </c>
      <c r="Z253" s="252">
        <v>0.03</v>
      </c>
      <c r="AA253" s="45"/>
      <c r="AB253" s="252">
        <v>0.03</v>
      </c>
      <c r="AC253" s="252">
        <v>0.03</v>
      </c>
      <c r="AD253" s="252">
        <v>0.03</v>
      </c>
      <c r="AE253" s="252">
        <v>0.03</v>
      </c>
      <c r="AF253" s="252">
        <v>0.03</v>
      </c>
      <c r="AG253" s="45"/>
      <c r="AH253" s="252">
        <v>0.03</v>
      </c>
    </row>
    <row r="254" spans="1:34" ht="15.75" customHeight="1" x14ac:dyDescent="0.2">
      <c r="A254" s="265"/>
      <c r="B254" s="284"/>
      <c r="C254" s="273"/>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ht="30.6" customHeight="1" x14ac:dyDescent="0.2">
      <c r="A256" s="9"/>
      <c r="B256" s="506" t="s">
        <v>145</v>
      </c>
      <c r="C256" s="424"/>
      <c r="D256" s="424"/>
      <c r="E256" s="424"/>
      <c r="F256" s="424"/>
      <c r="G256" s="424"/>
      <c r="H256" s="424"/>
      <c r="I256" s="424"/>
      <c r="J256" s="424"/>
      <c r="K256" s="424"/>
      <c r="L256" s="424"/>
      <c r="M256" s="424"/>
      <c r="N256" s="424"/>
      <c r="O256" s="424"/>
      <c r="P256" s="424"/>
      <c r="Q256" s="424"/>
      <c r="R256" s="424"/>
      <c r="S256" s="424"/>
      <c r="T256" s="424"/>
      <c r="U256" s="424"/>
      <c r="V256" s="424"/>
      <c r="W256" s="424"/>
      <c r="X256" s="424"/>
      <c r="Y256" s="424"/>
      <c r="Z256" s="424"/>
      <c r="AA256" s="424"/>
      <c r="AB256" s="424"/>
      <c r="AC256" s="424"/>
      <c r="AD256" s="424"/>
      <c r="AE256" s="424"/>
      <c r="AF256" s="424"/>
      <c r="AG256" s="424"/>
      <c r="AH256" s="424"/>
    </row>
  </sheetData>
  <mergeCells count="2889">
    <mergeCell ref="C122:C123"/>
    <mergeCell ref="C116:C117"/>
    <mergeCell ref="C118:C119"/>
    <mergeCell ref="C120:C121"/>
    <mergeCell ref="B112:B117"/>
    <mergeCell ref="A59:A72"/>
    <mergeCell ref="B71:C72"/>
    <mergeCell ref="B76:C76"/>
    <mergeCell ref="B77:C77"/>
    <mergeCell ref="A74:A79"/>
    <mergeCell ref="B236:C236"/>
    <mergeCell ref="B230:C231"/>
    <mergeCell ref="C141:C142"/>
    <mergeCell ref="C177:C178"/>
    <mergeCell ref="C185:C186"/>
    <mergeCell ref="B177:B182"/>
    <mergeCell ref="B137:B142"/>
    <mergeCell ref="C137:C138"/>
    <mergeCell ref="C187:C188"/>
    <mergeCell ref="C167:C168"/>
    <mergeCell ref="B190:C191"/>
    <mergeCell ref="C153:C154"/>
    <mergeCell ref="C155:C156"/>
    <mergeCell ref="B200:C201"/>
    <mergeCell ref="C163:C164"/>
    <mergeCell ref="B159:B164"/>
    <mergeCell ref="C165:C166"/>
    <mergeCell ref="C159:C160"/>
    <mergeCell ref="A222:A223"/>
    <mergeCell ref="A226:A235"/>
    <mergeCell ref="B226:C227"/>
    <mergeCell ref="B228:C229"/>
    <mergeCell ref="C253:C254"/>
    <mergeCell ref="C251:C252"/>
    <mergeCell ref="C222:C223"/>
    <mergeCell ref="B171:B176"/>
    <mergeCell ref="C181:C182"/>
    <mergeCell ref="B198:C199"/>
    <mergeCell ref="C171:C172"/>
    <mergeCell ref="C183:C184"/>
    <mergeCell ref="C179:C180"/>
    <mergeCell ref="C175:C176"/>
    <mergeCell ref="A153:A188"/>
    <mergeCell ref="A109:A123"/>
    <mergeCell ref="A125:A151"/>
    <mergeCell ref="B65:C66"/>
    <mergeCell ref="B67:C68"/>
    <mergeCell ref="A40:A57"/>
    <mergeCell ref="C40:C41"/>
    <mergeCell ref="B125:B130"/>
    <mergeCell ref="B131:B136"/>
    <mergeCell ref="B40:B45"/>
    <mergeCell ref="C127:C128"/>
    <mergeCell ref="C112:C113"/>
    <mergeCell ref="C114:C115"/>
    <mergeCell ref="C146:C147"/>
    <mergeCell ref="B109:C109"/>
    <mergeCell ref="B110:C111"/>
    <mergeCell ref="C125:C126"/>
    <mergeCell ref="B143:B145"/>
    <mergeCell ref="B165:B170"/>
    <mergeCell ref="B118:B123"/>
    <mergeCell ref="C169:C170"/>
    <mergeCell ref="C148:C149"/>
    <mergeCell ref="A15:A38"/>
    <mergeCell ref="B33:B38"/>
    <mergeCell ref="C33:C34"/>
    <mergeCell ref="C35:C36"/>
    <mergeCell ref="C37:C38"/>
    <mergeCell ref="C31:C32"/>
    <mergeCell ref="B27:B32"/>
    <mergeCell ref="C29:C30"/>
    <mergeCell ref="C27:C28"/>
    <mergeCell ref="B21:B26"/>
    <mergeCell ref="C17:C18"/>
    <mergeCell ref="C19:C20"/>
    <mergeCell ref="C52:C53"/>
    <mergeCell ref="C48:C49"/>
    <mergeCell ref="C23:C24"/>
    <mergeCell ref="B46:B51"/>
    <mergeCell ref="C46:C47"/>
    <mergeCell ref="B52:B57"/>
    <mergeCell ref="C50:C51"/>
    <mergeCell ref="C54:C55"/>
    <mergeCell ref="A4:C4"/>
    <mergeCell ref="A7:C7"/>
    <mergeCell ref="B10:B12"/>
    <mergeCell ref="C10:C12"/>
    <mergeCell ref="C44:C45"/>
    <mergeCell ref="C25:C26"/>
    <mergeCell ref="C21:C22"/>
    <mergeCell ref="B15:B20"/>
    <mergeCell ref="C15:C16"/>
    <mergeCell ref="A5:B5"/>
    <mergeCell ref="C56:C57"/>
    <mergeCell ref="B61:C62"/>
    <mergeCell ref="B59:C60"/>
    <mergeCell ref="B83:B88"/>
    <mergeCell ref="C89:C90"/>
    <mergeCell ref="C93:C94"/>
    <mergeCell ref="B69:C70"/>
    <mergeCell ref="B74:C75"/>
    <mergeCell ref="B78:C79"/>
    <mergeCell ref="A82:A107"/>
    <mergeCell ref="C85:C86"/>
    <mergeCell ref="C87:C88"/>
    <mergeCell ref="C83:C84"/>
    <mergeCell ref="C100:C101"/>
    <mergeCell ref="C96:C97"/>
    <mergeCell ref="C98:C99"/>
    <mergeCell ref="C91:C92"/>
    <mergeCell ref="B102:B107"/>
    <mergeCell ref="C102:C103"/>
    <mergeCell ref="C104:C105"/>
    <mergeCell ref="C106:C107"/>
    <mergeCell ref="A6:B6"/>
    <mergeCell ref="B234:C235"/>
    <mergeCell ref="A190:A193"/>
    <mergeCell ref="A196:A211"/>
    <mergeCell ref="C206:C207"/>
    <mergeCell ref="C202:C203"/>
    <mergeCell ref="A213:A218"/>
    <mergeCell ref="B213:C214"/>
    <mergeCell ref="B215:C216"/>
    <mergeCell ref="B217:C218"/>
    <mergeCell ref="B208:C209"/>
    <mergeCell ref="B210:C211"/>
    <mergeCell ref="C247:C248"/>
    <mergeCell ref="C239:C240"/>
    <mergeCell ref="C133:C134"/>
    <mergeCell ref="C135:C136"/>
    <mergeCell ref="C129:C130"/>
    <mergeCell ref="C131:C132"/>
    <mergeCell ref="C173:C174"/>
    <mergeCell ref="B196:C197"/>
    <mergeCell ref="B192:C193"/>
    <mergeCell ref="C139:C140"/>
    <mergeCell ref="B222:B223"/>
    <mergeCell ref="B108:C108"/>
    <mergeCell ref="B202:B207"/>
    <mergeCell ref="C157:C158"/>
    <mergeCell ref="C204:C205"/>
    <mergeCell ref="C161:C162"/>
    <mergeCell ref="C249:C250"/>
    <mergeCell ref="B243:B248"/>
    <mergeCell ref="B249:B254"/>
    <mergeCell ref="C150:C151"/>
    <mergeCell ref="B183:B188"/>
    <mergeCell ref="B146:B151"/>
    <mergeCell ref="B212:AH212"/>
    <mergeCell ref="B225:AH225"/>
    <mergeCell ref="B232:C233"/>
    <mergeCell ref="B153:B158"/>
    <mergeCell ref="D15:D16"/>
    <mergeCell ref="D19:D20"/>
    <mergeCell ref="D23:D24"/>
    <mergeCell ref="D27:D28"/>
    <mergeCell ref="D31:D32"/>
    <mergeCell ref="B96:B101"/>
    <mergeCell ref="B95:C95"/>
    <mergeCell ref="C42:C43"/>
    <mergeCell ref="B63:C64"/>
    <mergeCell ref="B89:B94"/>
    <mergeCell ref="AH15:AH16"/>
    <mergeCell ref="AH17:AH18"/>
    <mergeCell ref="L19:L20"/>
    <mergeCell ref="M19:M20"/>
    <mergeCell ref="N19:N20"/>
    <mergeCell ref="S19:S20"/>
    <mergeCell ref="D21:D22"/>
    <mergeCell ref="Y5:Y6"/>
    <mergeCell ref="E10:I10"/>
    <mergeCell ref="K10:P10"/>
    <mergeCell ref="Q10:V10"/>
    <mergeCell ref="W10:AA10"/>
    <mergeCell ref="A237:A254"/>
    <mergeCell ref="B237:B242"/>
    <mergeCell ref="C241:C242"/>
    <mergeCell ref="C243:C244"/>
    <mergeCell ref="C245:C246"/>
    <mergeCell ref="V15:V16"/>
    <mergeCell ref="AB15:AB16"/>
    <mergeCell ref="AC10:AG10"/>
    <mergeCell ref="E11:J11"/>
    <mergeCell ref="K11:O11"/>
    <mergeCell ref="Q11:U11"/>
    <mergeCell ref="W11:AA11"/>
    <mergeCell ref="AC11:AG11"/>
    <mergeCell ref="D17:D18"/>
    <mergeCell ref="I17:I18"/>
    <mergeCell ref="J17:J18"/>
    <mergeCell ref="O17:O18"/>
    <mergeCell ref="P17:P18"/>
    <mergeCell ref="V17:V18"/>
    <mergeCell ref="AB17:AB18"/>
    <mergeCell ref="I15:I16"/>
    <mergeCell ref="I19:I20"/>
    <mergeCell ref="J19:J20"/>
    <mergeCell ref="O19:O20"/>
    <mergeCell ref="P19:P20"/>
    <mergeCell ref="V19:V20"/>
    <mergeCell ref="AB19:AB20"/>
    <mergeCell ref="P21:P22"/>
    <mergeCell ref="V21:V22"/>
    <mergeCell ref="E21:E22"/>
    <mergeCell ref="F21:F22"/>
    <mergeCell ref="G21:G22"/>
    <mergeCell ref="H21:H22"/>
    <mergeCell ref="O23:O24"/>
    <mergeCell ref="P23:P24"/>
    <mergeCell ref="V23:V24"/>
    <mergeCell ref="AB23:AB24"/>
    <mergeCell ref="AH19:AH20"/>
    <mergeCell ref="AB21:AB22"/>
    <mergeCell ref="AH21:AH22"/>
    <mergeCell ref="AH23:AH24"/>
    <mergeCell ref="Q19:Q20"/>
    <mergeCell ref="R19:R20"/>
    <mergeCell ref="K21:K22"/>
    <mergeCell ref="L21:L22"/>
    <mergeCell ref="M21:M22"/>
    <mergeCell ref="N21:N22"/>
    <mergeCell ref="Q21:Q22"/>
    <mergeCell ref="R21:R22"/>
    <mergeCell ref="S21:S22"/>
    <mergeCell ref="T21:T22"/>
    <mergeCell ref="U21:U22"/>
    <mergeCell ref="W21:W22"/>
    <mergeCell ref="X21:X22"/>
    <mergeCell ref="Y21:Y22"/>
    <mergeCell ref="Z21:Z22"/>
    <mergeCell ref="D25:D26"/>
    <mergeCell ref="I25:I26"/>
    <mergeCell ref="J25:J26"/>
    <mergeCell ref="O25:O26"/>
    <mergeCell ref="P25:P26"/>
    <mergeCell ref="V25:V26"/>
    <mergeCell ref="Q25:Q26"/>
    <mergeCell ref="R25:R26"/>
    <mergeCell ref="S25:S26"/>
    <mergeCell ref="T25:T26"/>
    <mergeCell ref="AB25:AB26"/>
    <mergeCell ref="AH25:AH26"/>
    <mergeCell ref="I23:I24"/>
    <mergeCell ref="I27:I28"/>
    <mergeCell ref="J27:J28"/>
    <mergeCell ref="O27:O28"/>
    <mergeCell ref="P27:P28"/>
    <mergeCell ref="V27:V28"/>
    <mergeCell ref="AB27:AB28"/>
    <mergeCell ref="J23:J24"/>
    <mergeCell ref="E25:E26"/>
    <mergeCell ref="F25:F26"/>
    <mergeCell ref="G25:G26"/>
    <mergeCell ref="H25:H26"/>
    <mergeCell ref="K25:K26"/>
    <mergeCell ref="L25:L26"/>
    <mergeCell ref="M25:M26"/>
    <mergeCell ref="N25:N26"/>
    <mergeCell ref="U25:U26"/>
    <mergeCell ref="W25:W26"/>
    <mergeCell ref="X25:X26"/>
    <mergeCell ref="Y25:Y26"/>
    <mergeCell ref="D29:D30"/>
    <mergeCell ref="I29:I30"/>
    <mergeCell ref="J29:J30"/>
    <mergeCell ref="O29:O30"/>
    <mergeCell ref="P29:P30"/>
    <mergeCell ref="V29:V30"/>
    <mergeCell ref="L29:L30"/>
    <mergeCell ref="M29:M30"/>
    <mergeCell ref="N29:N30"/>
    <mergeCell ref="Q29:Q30"/>
    <mergeCell ref="J31:J32"/>
    <mergeCell ref="O31:O32"/>
    <mergeCell ref="P31:P32"/>
    <mergeCell ref="V31:V32"/>
    <mergeCell ref="AB31:AB32"/>
    <mergeCell ref="AH27:AH28"/>
    <mergeCell ref="AB29:AB30"/>
    <mergeCell ref="AH29:AH30"/>
    <mergeCell ref="AH31:AH32"/>
    <mergeCell ref="L27:L28"/>
    <mergeCell ref="E29:E30"/>
    <mergeCell ref="F29:F30"/>
    <mergeCell ref="G29:G30"/>
    <mergeCell ref="H29:H30"/>
    <mergeCell ref="K29:K30"/>
    <mergeCell ref="R29:R30"/>
    <mergeCell ref="S29:S30"/>
    <mergeCell ref="T29:T30"/>
    <mergeCell ref="U29:U30"/>
    <mergeCell ref="W29:W30"/>
    <mergeCell ref="X29:X30"/>
    <mergeCell ref="Y29:Y30"/>
    <mergeCell ref="O33:O34"/>
    <mergeCell ref="P33:P34"/>
    <mergeCell ref="V33:V34"/>
    <mergeCell ref="N33:N34"/>
    <mergeCell ref="Q33:Q34"/>
    <mergeCell ref="R33:R34"/>
    <mergeCell ref="S33:S34"/>
    <mergeCell ref="AH33:AH34"/>
    <mergeCell ref="I31:I32"/>
    <mergeCell ref="D35:D36"/>
    <mergeCell ref="I35:I36"/>
    <mergeCell ref="J35:J36"/>
    <mergeCell ref="O35:O36"/>
    <mergeCell ref="P35:P36"/>
    <mergeCell ref="V35:V36"/>
    <mergeCell ref="AB35:AB36"/>
    <mergeCell ref="D33:D34"/>
    <mergeCell ref="AH35:AH36"/>
    <mergeCell ref="E33:E34"/>
    <mergeCell ref="F33:F34"/>
    <mergeCell ref="G33:G34"/>
    <mergeCell ref="H33:H34"/>
    <mergeCell ref="K33:K34"/>
    <mergeCell ref="L33:L34"/>
    <mergeCell ref="M33:M34"/>
    <mergeCell ref="T33:T34"/>
    <mergeCell ref="U33:U34"/>
    <mergeCell ref="W33:W34"/>
    <mergeCell ref="X33:X34"/>
    <mergeCell ref="Y33:Y34"/>
    <mergeCell ref="AH40:AH41"/>
    <mergeCell ref="D37:D38"/>
    <mergeCell ref="J37:J38"/>
    <mergeCell ref="O37:O38"/>
    <mergeCell ref="P37:P38"/>
    <mergeCell ref="V37:V38"/>
    <mergeCell ref="AB37:AB38"/>
    <mergeCell ref="E35:E36"/>
    <mergeCell ref="J42:J43"/>
    <mergeCell ref="P42:P43"/>
    <mergeCell ref="V42:V43"/>
    <mergeCell ref="AB42:AB43"/>
    <mergeCell ref="AH37:AH38"/>
    <mergeCell ref="D40:D41"/>
    <mergeCell ref="I40:I41"/>
    <mergeCell ref="J40:J41"/>
    <mergeCell ref="P40:P41"/>
    <mergeCell ref="V40:V41"/>
    <mergeCell ref="AH42:AH43"/>
    <mergeCell ref="E37:E38"/>
    <mergeCell ref="F37:F38"/>
    <mergeCell ref="G37:G38"/>
    <mergeCell ref="H37:H38"/>
    <mergeCell ref="I37:I38"/>
    <mergeCell ref="K37:K38"/>
    <mergeCell ref="L37:L38"/>
    <mergeCell ref="M37:M38"/>
    <mergeCell ref="N37:N38"/>
    <mergeCell ref="Q37:Q38"/>
    <mergeCell ref="R37:R38"/>
    <mergeCell ref="S37:S38"/>
    <mergeCell ref="D44:D45"/>
    <mergeCell ref="I44:I45"/>
    <mergeCell ref="J44:J45"/>
    <mergeCell ref="P44:P45"/>
    <mergeCell ref="V44:V45"/>
    <mergeCell ref="AB44:AB45"/>
    <mergeCell ref="AH44:AH45"/>
    <mergeCell ref="D42:D43"/>
    <mergeCell ref="I42:I43"/>
    <mergeCell ref="AB48:AB49"/>
    <mergeCell ref="AH48:AH49"/>
    <mergeCell ref="D46:D47"/>
    <mergeCell ref="I46:I47"/>
    <mergeCell ref="J46:J47"/>
    <mergeCell ref="P46:P47"/>
    <mergeCell ref="V46:V47"/>
    <mergeCell ref="AB46:AB47"/>
    <mergeCell ref="E48:E49"/>
    <mergeCell ref="F48:F49"/>
    <mergeCell ref="E44:E45"/>
    <mergeCell ref="F44:F45"/>
    <mergeCell ref="G44:G45"/>
    <mergeCell ref="H44:H45"/>
    <mergeCell ref="S44:S45"/>
    <mergeCell ref="T44:T45"/>
    <mergeCell ref="S46:S47"/>
    <mergeCell ref="T46:T47"/>
    <mergeCell ref="S48:S49"/>
    <mergeCell ref="T48:T49"/>
    <mergeCell ref="Y44:Y45"/>
    <mergeCell ref="Z44:Z45"/>
    <mergeCell ref="Y46:Y47"/>
    <mergeCell ref="J50:J51"/>
    <mergeCell ref="P50:P51"/>
    <mergeCell ref="V50:V51"/>
    <mergeCell ref="AB50:AB51"/>
    <mergeCell ref="AH46:AH47"/>
    <mergeCell ref="D48:D49"/>
    <mergeCell ref="I48:I49"/>
    <mergeCell ref="J48:J49"/>
    <mergeCell ref="P48:P49"/>
    <mergeCell ref="V48:V49"/>
    <mergeCell ref="AH50:AH51"/>
    <mergeCell ref="D52:D53"/>
    <mergeCell ref="I52:I53"/>
    <mergeCell ref="J52:J53"/>
    <mergeCell ref="P52:P53"/>
    <mergeCell ref="V52:V53"/>
    <mergeCell ref="AB52:AB53"/>
    <mergeCell ref="AH52:AH53"/>
    <mergeCell ref="D50:D51"/>
    <mergeCell ref="I50:I51"/>
    <mergeCell ref="E46:E47"/>
    <mergeCell ref="F46:F47"/>
    <mergeCell ref="G46:G47"/>
    <mergeCell ref="H46:H47"/>
    <mergeCell ref="G48:G49"/>
    <mergeCell ref="H48:H49"/>
    <mergeCell ref="E50:E51"/>
    <mergeCell ref="F50:F51"/>
    <mergeCell ref="G50:G51"/>
    <mergeCell ref="H50:H51"/>
    <mergeCell ref="E52:E53"/>
    <mergeCell ref="F52:F53"/>
    <mergeCell ref="AB56:AB57"/>
    <mergeCell ref="AH56:AH57"/>
    <mergeCell ref="D54:D55"/>
    <mergeCell ref="I54:I55"/>
    <mergeCell ref="J54:J55"/>
    <mergeCell ref="P54:P55"/>
    <mergeCell ref="V54:V55"/>
    <mergeCell ref="AB54:AB55"/>
    <mergeCell ref="E56:E57"/>
    <mergeCell ref="F56:F57"/>
    <mergeCell ref="J59:J60"/>
    <mergeCell ref="P59:P60"/>
    <mergeCell ref="V59:V60"/>
    <mergeCell ref="AB59:AB60"/>
    <mergeCell ref="AH54:AH55"/>
    <mergeCell ref="D56:D57"/>
    <mergeCell ref="I56:I57"/>
    <mergeCell ref="J56:J57"/>
    <mergeCell ref="P56:P57"/>
    <mergeCell ref="V56:V57"/>
    <mergeCell ref="AH59:AH60"/>
    <mergeCell ref="D61:D62"/>
    <mergeCell ref="I61:I62"/>
    <mergeCell ref="J61:J62"/>
    <mergeCell ref="P61:P62"/>
    <mergeCell ref="V61:V62"/>
    <mergeCell ref="AB61:AB62"/>
    <mergeCell ref="AH61:AH62"/>
    <mergeCell ref="D59:D60"/>
    <mergeCell ref="I59:I60"/>
    <mergeCell ref="D63:D64"/>
    <mergeCell ref="J63:J64"/>
    <mergeCell ref="P63:P64"/>
    <mergeCell ref="V63:V64"/>
    <mergeCell ref="AB63:AB64"/>
    <mergeCell ref="AH63:AH64"/>
    <mergeCell ref="K63:K64"/>
    <mergeCell ref="L63:L64"/>
    <mergeCell ref="M63:M64"/>
    <mergeCell ref="N63:N64"/>
    <mergeCell ref="E61:E62"/>
    <mergeCell ref="F61:F62"/>
    <mergeCell ref="G61:G62"/>
    <mergeCell ref="H61:H62"/>
    <mergeCell ref="E63:E64"/>
    <mergeCell ref="F63:F64"/>
    <mergeCell ref="G63:G64"/>
    <mergeCell ref="H63:H64"/>
    <mergeCell ref="K61:K62"/>
    <mergeCell ref="L61:L62"/>
    <mergeCell ref="M61:M62"/>
    <mergeCell ref="N61:N62"/>
    <mergeCell ref="Q61:Q62"/>
    <mergeCell ref="D65:D66"/>
    <mergeCell ref="J65:J66"/>
    <mergeCell ref="P65:P66"/>
    <mergeCell ref="V65:V66"/>
    <mergeCell ref="AB65:AB66"/>
    <mergeCell ref="AH65:AH66"/>
    <mergeCell ref="E65:E66"/>
    <mergeCell ref="F65:F66"/>
    <mergeCell ref="G65:G66"/>
    <mergeCell ref="H65:H66"/>
    <mergeCell ref="D67:D68"/>
    <mergeCell ref="J67:J68"/>
    <mergeCell ref="P67:P68"/>
    <mergeCell ref="V67:V68"/>
    <mergeCell ref="AB67:AB68"/>
    <mergeCell ref="AH67:AH68"/>
    <mergeCell ref="E67:E68"/>
    <mergeCell ref="F67:F68"/>
    <mergeCell ref="G67:G68"/>
    <mergeCell ref="H67:H68"/>
    <mergeCell ref="K65:K66"/>
    <mergeCell ref="L65:L66"/>
    <mergeCell ref="M65:M66"/>
    <mergeCell ref="N65:N66"/>
    <mergeCell ref="K67:K68"/>
    <mergeCell ref="L67:L68"/>
    <mergeCell ref="M67:M68"/>
    <mergeCell ref="N67:N68"/>
    <mergeCell ref="D69:D70"/>
    <mergeCell ref="J69:J70"/>
    <mergeCell ref="P69:P70"/>
    <mergeCell ref="V69:V70"/>
    <mergeCell ref="AB69:AB70"/>
    <mergeCell ref="AH69:AH70"/>
    <mergeCell ref="E69:E70"/>
    <mergeCell ref="F69:F70"/>
    <mergeCell ref="G69:G70"/>
    <mergeCell ref="H69:H70"/>
    <mergeCell ref="D71:D72"/>
    <mergeCell ref="J71:J72"/>
    <mergeCell ref="P71:P72"/>
    <mergeCell ref="V71:V72"/>
    <mergeCell ref="AB71:AB72"/>
    <mergeCell ref="AH71:AH72"/>
    <mergeCell ref="E71:E72"/>
    <mergeCell ref="F71:F72"/>
    <mergeCell ref="G71:G72"/>
    <mergeCell ref="H71:H72"/>
    <mergeCell ref="K69:K70"/>
    <mergeCell ref="L69:L70"/>
    <mergeCell ref="M69:M70"/>
    <mergeCell ref="N69:N70"/>
    <mergeCell ref="K71:K72"/>
    <mergeCell ref="L71:L72"/>
    <mergeCell ref="M71:M72"/>
    <mergeCell ref="N71:N72"/>
    <mergeCell ref="Q71:Q72"/>
    <mergeCell ref="R71:R72"/>
    <mergeCell ref="S71:S72"/>
    <mergeCell ref="T71:T72"/>
    <mergeCell ref="D74:D75"/>
    <mergeCell ref="J74:J75"/>
    <mergeCell ref="P74:P75"/>
    <mergeCell ref="V74:V75"/>
    <mergeCell ref="AB74:AB75"/>
    <mergeCell ref="AH74:AH75"/>
    <mergeCell ref="W74:W75"/>
    <mergeCell ref="X74:X75"/>
    <mergeCell ref="Y74:Y75"/>
    <mergeCell ref="Z74:Z75"/>
    <mergeCell ref="P78:P79"/>
    <mergeCell ref="V78:V79"/>
    <mergeCell ref="AB78:AB79"/>
    <mergeCell ref="AH78:AH79"/>
    <mergeCell ref="J83:J84"/>
    <mergeCell ref="P83:P84"/>
    <mergeCell ref="V83:V84"/>
    <mergeCell ref="AB83:AB84"/>
    <mergeCell ref="AH83:AH84"/>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J85:J86"/>
    <mergeCell ref="P85:P86"/>
    <mergeCell ref="V85:V86"/>
    <mergeCell ref="AB85:AB86"/>
    <mergeCell ref="AH85:AH86"/>
    <mergeCell ref="J87:J88"/>
    <mergeCell ref="P87:P88"/>
    <mergeCell ref="V87:V88"/>
    <mergeCell ref="AB87:AB88"/>
    <mergeCell ref="AH87:AH88"/>
    <mergeCell ref="J89:J90"/>
    <mergeCell ref="P89:P90"/>
    <mergeCell ref="V89:V90"/>
    <mergeCell ref="AB89:AB90"/>
    <mergeCell ref="AH89:AH90"/>
    <mergeCell ref="J91:J92"/>
    <mergeCell ref="P91:P92"/>
    <mergeCell ref="V91:V92"/>
    <mergeCell ref="AB91:AB92"/>
    <mergeCell ref="AH91:AH92"/>
    <mergeCell ref="AH98:AH99"/>
    <mergeCell ref="J93:J94"/>
    <mergeCell ref="P93:P94"/>
    <mergeCell ref="V93:V94"/>
    <mergeCell ref="AB93:AB94"/>
    <mergeCell ref="AH93:AH94"/>
    <mergeCell ref="J96:J97"/>
    <mergeCell ref="P96:P97"/>
    <mergeCell ref="V96:V97"/>
    <mergeCell ref="AB96:AB97"/>
    <mergeCell ref="J100:J101"/>
    <mergeCell ref="P100:P101"/>
    <mergeCell ref="V100:V101"/>
    <mergeCell ref="AB100:AB101"/>
    <mergeCell ref="AH100:AH101"/>
    <mergeCell ref="AH96:AH97"/>
    <mergeCell ref="J98:J99"/>
    <mergeCell ref="P98:P99"/>
    <mergeCell ref="V98:V99"/>
    <mergeCell ref="AB98:AB99"/>
    <mergeCell ref="K93:K94"/>
    <mergeCell ref="L93:L94"/>
    <mergeCell ref="M93:M94"/>
    <mergeCell ref="N93:N94"/>
    <mergeCell ref="Q93:Q94"/>
    <mergeCell ref="R93:R94"/>
    <mergeCell ref="S93:S94"/>
    <mergeCell ref="T93:T94"/>
    <mergeCell ref="W93:W94"/>
    <mergeCell ref="X93:X94"/>
    <mergeCell ref="Y93:Y94"/>
    <mergeCell ref="Z93:Z94"/>
    <mergeCell ref="AB102:AB103"/>
    <mergeCell ref="AH102:AH103"/>
    <mergeCell ref="J104:J105"/>
    <mergeCell ref="P104:P105"/>
    <mergeCell ref="V104:V105"/>
    <mergeCell ref="AB104:AB105"/>
    <mergeCell ref="AH104:AH105"/>
    <mergeCell ref="J106:J107"/>
    <mergeCell ref="P106:P107"/>
    <mergeCell ref="V106:V107"/>
    <mergeCell ref="AB106:AB107"/>
    <mergeCell ref="AH106:AH107"/>
    <mergeCell ref="J110:J111"/>
    <mergeCell ref="P110:P111"/>
    <mergeCell ref="V110:V111"/>
    <mergeCell ref="AB110:AB111"/>
    <mergeCell ref="AH110:AH111"/>
    <mergeCell ref="Q102:Q103"/>
    <mergeCell ref="R102:R103"/>
    <mergeCell ref="S102:S103"/>
    <mergeCell ref="T102:T103"/>
    <mergeCell ref="Q104:Q105"/>
    <mergeCell ref="R104:R105"/>
    <mergeCell ref="S104:S105"/>
    <mergeCell ref="T104:T105"/>
    <mergeCell ref="Q106:Q107"/>
    <mergeCell ref="R106:R107"/>
    <mergeCell ref="S106:S107"/>
    <mergeCell ref="T106:T107"/>
    <mergeCell ref="J112:J113"/>
    <mergeCell ref="P112:P113"/>
    <mergeCell ref="V112:V113"/>
    <mergeCell ref="AB112:AB113"/>
    <mergeCell ref="AH112:AH113"/>
    <mergeCell ref="J114:J115"/>
    <mergeCell ref="P114:P115"/>
    <mergeCell ref="V114:V115"/>
    <mergeCell ref="AB114:AB115"/>
    <mergeCell ref="AH114:AH115"/>
    <mergeCell ref="J116:J117"/>
    <mergeCell ref="P116:P117"/>
    <mergeCell ref="V116:V117"/>
    <mergeCell ref="AB116:AB117"/>
    <mergeCell ref="AH116:AH117"/>
    <mergeCell ref="J118:J119"/>
    <mergeCell ref="P118:P119"/>
    <mergeCell ref="V118:V119"/>
    <mergeCell ref="AB118:AB119"/>
    <mergeCell ref="AH118:AH119"/>
    <mergeCell ref="J120:J121"/>
    <mergeCell ref="P120:P121"/>
    <mergeCell ref="V120:V121"/>
    <mergeCell ref="AB120:AB121"/>
    <mergeCell ref="AH120:AH121"/>
    <mergeCell ref="J122:J123"/>
    <mergeCell ref="P122:P123"/>
    <mergeCell ref="V122:V123"/>
    <mergeCell ref="AB122:AB123"/>
    <mergeCell ref="AH122:AH123"/>
    <mergeCell ref="J127:J128"/>
    <mergeCell ref="P127:P128"/>
    <mergeCell ref="V127:V128"/>
    <mergeCell ref="AB127:AB128"/>
    <mergeCell ref="AH127:AH128"/>
    <mergeCell ref="J129:J130"/>
    <mergeCell ref="P129:P130"/>
    <mergeCell ref="V129:V130"/>
    <mergeCell ref="AB129:AB130"/>
    <mergeCell ref="AH129:AH130"/>
    <mergeCell ref="K122:K123"/>
    <mergeCell ref="L122:L123"/>
    <mergeCell ref="M122:M123"/>
    <mergeCell ref="N122:N123"/>
    <mergeCell ref="Q120:Q121"/>
    <mergeCell ref="R120:R121"/>
    <mergeCell ref="S120:S121"/>
    <mergeCell ref="T120:T121"/>
    <mergeCell ref="Q122:Q123"/>
    <mergeCell ref="R122:R123"/>
    <mergeCell ref="S122:S123"/>
    <mergeCell ref="T122:T123"/>
    <mergeCell ref="J131:J132"/>
    <mergeCell ref="P131:P132"/>
    <mergeCell ref="V131:V132"/>
    <mergeCell ref="AB131:AB132"/>
    <mergeCell ref="AH131:AH132"/>
    <mergeCell ref="J133:J134"/>
    <mergeCell ref="P133:P134"/>
    <mergeCell ref="V133:V134"/>
    <mergeCell ref="AB133:AB134"/>
    <mergeCell ref="AH133:AH134"/>
    <mergeCell ref="J135:J136"/>
    <mergeCell ref="P135:P136"/>
    <mergeCell ref="V135:V136"/>
    <mergeCell ref="AB135:AB136"/>
    <mergeCell ref="AH135:AH136"/>
    <mergeCell ref="J137:J138"/>
    <mergeCell ref="P137:P138"/>
    <mergeCell ref="V137:V138"/>
    <mergeCell ref="AB137:AB138"/>
    <mergeCell ref="AH137:AH138"/>
    <mergeCell ref="M137:M138"/>
    <mergeCell ref="N137:N138"/>
    <mergeCell ref="J139:J140"/>
    <mergeCell ref="P139:P140"/>
    <mergeCell ref="V139:V140"/>
    <mergeCell ref="AB139:AB140"/>
    <mergeCell ref="AH139:AH140"/>
    <mergeCell ref="J141:J142"/>
    <mergeCell ref="P141:P142"/>
    <mergeCell ref="V141:V142"/>
    <mergeCell ref="AB141:AB142"/>
    <mergeCell ref="AH141:AH142"/>
    <mergeCell ref="J146:J147"/>
    <mergeCell ref="P146:P147"/>
    <mergeCell ref="V146:V147"/>
    <mergeCell ref="AB146:AB147"/>
    <mergeCell ref="AH146:AH147"/>
    <mergeCell ref="J148:J149"/>
    <mergeCell ref="P148:P149"/>
    <mergeCell ref="V148:V149"/>
    <mergeCell ref="AB148:AB149"/>
    <mergeCell ref="AH148:AH149"/>
    <mergeCell ref="K139:K140"/>
    <mergeCell ref="L139:L140"/>
    <mergeCell ref="M139:M140"/>
    <mergeCell ref="N139:N140"/>
    <mergeCell ref="K141:K142"/>
    <mergeCell ref="L141:L142"/>
    <mergeCell ref="M141:M142"/>
    <mergeCell ref="N141:N142"/>
    <mergeCell ref="Q139:Q140"/>
    <mergeCell ref="R139:R140"/>
    <mergeCell ref="S139:S140"/>
    <mergeCell ref="T139:T140"/>
    <mergeCell ref="J150:J151"/>
    <mergeCell ref="P150:P151"/>
    <mergeCell ref="V150:V151"/>
    <mergeCell ref="AB150:AB151"/>
    <mergeCell ref="AH150:AH151"/>
    <mergeCell ref="J153:J154"/>
    <mergeCell ref="P153:P154"/>
    <mergeCell ref="V153:V154"/>
    <mergeCell ref="AB153:AB154"/>
    <mergeCell ref="AH153:AH154"/>
    <mergeCell ref="J155:J156"/>
    <mergeCell ref="P155:P156"/>
    <mergeCell ref="V155:V156"/>
    <mergeCell ref="AB155:AB156"/>
    <mergeCell ref="AH155:AH156"/>
    <mergeCell ref="J157:J158"/>
    <mergeCell ref="P157:P158"/>
    <mergeCell ref="V157:V158"/>
    <mergeCell ref="AB157:AB158"/>
    <mergeCell ref="AH157:AH158"/>
    <mergeCell ref="M150:M151"/>
    <mergeCell ref="N150:N151"/>
    <mergeCell ref="Q155:Q156"/>
    <mergeCell ref="R155:R156"/>
    <mergeCell ref="S155:S156"/>
    <mergeCell ref="T155:T156"/>
    <mergeCell ref="Q157:Q158"/>
    <mergeCell ref="R157:R158"/>
    <mergeCell ref="S157:S158"/>
    <mergeCell ref="T157:T158"/>
    <mergeCell ref="W153:W154"/>
    <mergeCell ref="X153:X154"/>
    <mergeCell ref="J159:J160"/>
    <mergeCell ref="P159:P160"/>
    <mergeCell ref="V159:V160"/>
    <mergeCell ref="AB159:AB160"/>
    <mergeCell ref="AH159:AH160"/>
    <mergeCell ref="J161:J162"/>
    <mergeCell ref="P161:P162"/>
    <mergeCell ref="V161:V162"/>
    <mergeCell ref="AB161:AB162"/>
    <mergeCell ref="AH161:AH162"/>
    <mergeCell ref="J163:J164"/>
    <mergeCell ref="P163:P164"/>
    <mergeCell ref="V163:V164"/>
    <mergeCell ref="AB163:AB164"/>
    <mergeCell ref="AH163:AH164"/>
    <mergeCell ref="J165:J166"/>
    <mergeCell ref="P165:P166"/>
    <mergeCell ref="V165:V166"/>
    <mergeCell ref="AB165:AB166"/>
    <mergeCell ref="AH165:AH166"/>
    <mergeCell ref="L161:L162"/>
    <mergeCell ref="M161:M162"/>
    <mergeCell ref="N161:N162"/>
    <mergeCell ref="L163:L164"/>
    <mergeCell ref="M163:M164"/>
    <mergeCell ref="N163:N164"/>
    <mergeCell ref="L165:L166"/>
    <mergeCell ref="M165:M166"/>
    <mergeCell ref="N165:N166"/>
    <mergeCell ref="Q159:Q160"/>
    <mergeCell ref="R159:R160"/>
    <mergeCell ref="S159:S160"/>
    <mergeCell ref="J167:J168"/>
    <mergeCell ref="P167:P168"/>
    <mergeCell ref="V167:V168"/>
    <mergeCell ref="AB167:AB168"/>
    <mergeCell ref="AH167:AH168"/>
    <mergeCell ref="J169:J170"/>
    <mergeCell ref="P169:P170"/>
    <mergeCell ref="V169:V170"/>
    <mergeCell ref="AB169:AB170"/>
    <mergeCell ref="AH169:AH170"/>
    <mergeCell ref="J171:J172"/>
    <mergeCell ref="P171:P172"/>
    <mergeCell ref="V171:V172"/>
    <mergeCell ref="AB171:AB172"/>
    <mergeCell ref="AH171:AH172"/>
    <mergeCell ref="J173:J174"/>
    <mergeCell ref="P173:P174"/>
    <mergeCell ref="V173:V174"/>
    <mergeCell ref="AB173:AB174"/>
    <mergeCell ref="AH173:AH174"/>
    <mergeCell ref="L167:L168"/>
    <mergeCell ref="M167:M168"/>
    <mergeCell ref="N167:N168"/>
    <mergeCell ref="L169:L170"/>
    <mergeCell ref="M169:M170"/>
    <mergeCell ref="N169:N170"/>
    <mergeCell ref="L171:L172"/>
    <mergeCell ref="M171:M172"/>
    <mergeCell ref="N171:N172"/>
    <mergeCell ref="L173:L174"/>
    <mergeCell ref="M173:M174"/>
    <mergeCell ref="N173:N174"/>
    <mergeCell ref="J175:J176"/>
    <mergeCell ref="P175:P176"/>
    <mergeCell ref="V175:V176"/>
    <mergeCell ref="AB175:AB176"/>
    <mergeCell ref="AH175:AH176"/>
    <mergeCell ref="J177:J178"/>
    <mergeCell ref="P177:P178"/>
    <mergeCell ref="V177:V178"/>
    <mergeCell ref="AB177:AB178"/>
    <mergeCell ref="AH177:AH178"/>
    <mergeCell ref="J179:J180"/>
    <mergeCell ref="P179:P180"/>
    <mergeCell ref="V179:V180"/>
    <mergeCell ref="AB179:AB180"/>
    <mergeCell ref="AH179:AH180"/>
    <mergeCell ref="J181:J182"/>
    <mergeCell ref="P181:P182"/>
    <mergeCell ref="V181:V182"/>
    <mergeCell ref="AB181:AB182"/>
    <mergeCell ref="AH181:AH182"/>
    <mergeCell ref="L175:L176"/>
    <mergeCell ref="M175:M176"/>
    <mergeCell ref="N175:N176"/>
    <mergeCell ref="L177:L178"/>
    <mergeCell ref="M177:M178"/>
    <mergeCell ref="N177:N178"/>
    <mergeCell ref="L179:L180"/>
    <mergeCell ref="M179:M180"/>
    <mergeCell ref="N179:N180"/>
    <mergeCell ref="L181:L182"/>
    <mergeCell ref="M181:M182"/>
    <mergeCell ref="N181:N182"/>
    <mergeCell ref="J183:J184"/>
    <mergeCell ref="P183:P184"/>
    <mergeCell ref="V183:V184"/>
    <mergeCell ref="AB183:AB184"/>
    <mergeCell ref="AH183:AH184"/>
    <mergeCell ref="J185:J186"/>
    <mergeCell ref="P185:P186"/>
    <mergeCell ref="V185:V186"/>
    <mergeCell ref="AB185:AB186"/>
    <mergeCell ref="AH185:AH186"/>
    <mergeCell ref="J187:J188"/>
    <mergeCell ref="P187:P188"/>
    <mergeCell ref="V187:V188"/>
    <mergeCell ref="AB187:AB188"/>
    <mergeCell ref="AH187:AH188"/>
    <mergeCell ref="J190:J191"/>
    <mergeCell ref="P190:P191"/>
    <mergeCell ref="V190:V191"/>
    <mergeCell ref="AB190:AB191"/>
    <mergeCell ref="AH190:AH191"/>
    <mergeCell ref="L183:L184"/>
    <mergeCell ref="M183:M184"/>
    <mergeCell ref="N183:N184"/>
    <mergeCell ref="K185:K186"/>
    <mergeCell ref="L185:L186"/>
    <mergeCell ref="M185:M186"/>
    <mergeCell ref="N185:N186"/>
    <mergeCell ref="K187:K188"/>
    <mergeCell ref="L187:L188"/>
    <mergeCell ref="M187:M188"/>
    <mergeCell ref="N187:N188"/>
    <mergeCell ref="W183:W184"/>
    <mergeCell ref="AH192:AH193"/>
    <mergeCell ref="D196:D197"/>
    <mergeCell ref="J196:J197"/>
    <mergeCell ref="P196:P197"/>
    <mergeCell ref="V196:V197"/>
    <mergeCell ref="AB196:AB197"/>
    <mergeCell ref="AH196:AH197"/>
    <mergeCell ref="J198:J199"/>
    <mergeCell ref="P198:P199"/>
    <mergeCell ref="V198:V199"/>
    <mergeCell ref="AB198:AB199"/>
    <mergeCell ref="AH198:AH199"/>
    <mergeCell ref="K196:K197"/>
    <mergeCell ref="L196:L197"/>
    <mergeCell ref="M196:M197"/>
    <mergeCell ref="N196:N197"/>
    <mergeCell ref="Q192:Q193"/>
    <mergeCell ref="R192:R193"/>
    <mergeCell ref="S192:S193"/>
    <mergeCell ref="T192:T193"/>
    <mergeCell ref="E198:E199"/>
    <mergeCell ref="F198:F199"/>
    <mergeCell ref="G198:G199"/>
    <mergeCell ref="H198:H199"/>
    <mergeCell ref="K198:K199"/>
    <mergeCell ref="L198:L199"/>
    <mergeCell ref="M198:M199"/>
    <mergeCell ref="N198:N199"/>
    <mergeCell ref="J200:J201"/>
    <mergeCell ref="P200:P201"/>
    <mergeCell ref="V200:V201"/>
    <mergeCell ref="AB200:AB201"/>
    <mergeCell ref="AH200:AH201"/>
    <mergeCell ref="D202:D203"/>
    <mergeCell ref="J202:J203"/>
    <mergeCell ref="P202:P203"/>
    <mergeCell ref="V202:V203"/>
    <mergeCell ref="AB202:AB203"/>
    <mergeCell ref="AH206:AH207"/>
    <mergeCell ref="AH202:AH203"/>
    <mergeCell ref="D204:D205"/>
    <mergeCell ref="J204:J205"/>
    <mergeCell ref="P204:P205"/>
    <mergeCell ref="V204:V205"/>
    <mergeCell ref="AB204:AB205"/>
    <mergeCell ref="AH204:AH205"/>
    <mergeCell ref="E204:E205"/>
    <mergeCell ref="F204:F205"/>
    <mergeCell ref="E200:E201"/>
    <mergeCell ref="F200:F201"/>
    <mergeCell ref="G200:G201"/>
    <mergeCell ref="H200:H201"/>
    <mergeCell ref="E202:E203"/>
    <mergeCell ref="F202:F203"/>
    <mergeCell ref="G202:G203"/>
    <mergeCell ref="H202:H203"/>
    <mergeCell ref="G204:G205"/>
    <mergeCell ref="H204:H205"/>
    <mergeCell ref="K200:K201"/>
    <mergeCell ref="L200:L201"/>
    <mergeCell ref="J208:J209"/>
    <mergeCell ref="P208:P209"/>
    <mergeCell ref="V208:V209"/>
    <mergeCell ref="AB208:AB209"/>
    <mergeCell ref="AH208:AH209"/>
    <mergeCell ref="D206:D207"/>
    <mergeCell ref="J206:J207"/>
    <mergeCell ref="P206:P207"/>
    <mergeCell ref="V206:V207"/>
    <mergeCell ref="AB206:AB207"/>
    <mergeCell ref="D210:D211"/>
    <mergeCell ref="J210:J211"/>
    <mergeCell ref="P210:P211"/>
    <mergeCell ref="V210:V211"/>
    <mergeCell ref="AB210:AB211"/>
    <mergeCell ref="AH210:AH211"/>
    <mergeCell ref="K210:K211"/>
    <mergeCell ref="L210:L211"/>
    <mergeCell ref="M210:M211"/>
    <mergeCell ref="N210:N211"/>
    <mergeCell ref="E206:E207"/>
    <mergeCell ref="F206:F207"/>
    <mergeCell ref="G206:G207"/>
    <mergeCell ref="H206:H207"/>
    <mergeCell ref="E208:E209"/>
    <mergeCell ref="F208:F209"/>
    <mergeCell ref="G208:G209"/>
    <mergeCell ref="H208:H209"/>
    <mergeCell ref="E210:E211"/>
    <mergeCell ref="F210:F211"/>
    <mergeCell ref="G210:G211"/>
    <mergeCell ref="H210:H211"/>
    <mergeCell ref="AH215:AH216"/>
    <mergeCell ref="D213:D214"/>
    <mergeCell ref="J213:J214"/>
    <mergeCell ref="P213:P214"/>
    <mergeCell ref="V213:V214"/>
    <mergeCell ref="AB213:AB214"/>
    <mergeCell ref="AH213:AH214"/>
    <mergeCell ref="E213:E214"/>
    <mergeCell ref="F213:F214"/>
    <mergeCell ref="G213:G214"/>
    <mergeCell ref="G222:H222"/>
    <mergeCell ref="M222:N222"/>
    <mergeCell ref="S222:T222"/>
    <mergeCell ref="Y222:Z222"/>
    <mergeCell ref="AE222:AF222"/>
    <mergeCell ref="D215:D216"/>
    <mergeCell ref="J215:J216"/>
    <mergeCell ref="P215:P216"/>
    <mergeCell ref="V215:V216"/>
    <mergeCell ref="AB215:AB216"/>
    <mergeCell ref="L213:L214"/>
    <mergeCell ref="S213:S214"/>
    <mergeCell ref="T213:T214"/>
    <mergeCell ref="Q215:Q216"/>
    <mergeCell ref="R215:R216"/>
    <mergeCell ref="S215:S216"/>
    <mergeCell ref="T215:T216"/>
    <mergeCell ref="W213:W214"/>
    <mergeCell ref="X213:X214"/>
    <mergeCell ref="Y213:Y214"/>
    <mergeCell ref="Z213:Z214"/>
    <mergeCell ref="W215:W216"/>
    <mergeCell ref="J239:J240"/>
    <mergeCell ref="P239:P240"/>
    <mergeCell ref="V239:V240"/>
    <mergeCell ref="AB239:AB240"/>
    <mergeCell ref="AH239:AH240"/>
    <mergeCell ref="J217:J218"/>
    <mergeCell ref="P217:P218"/>
    <mergeCell ref="V217:V218"/>
    <mergeCell ref="AB217:AB218"/>
    <mergeCell ref="AH217:AH218"/>
    <mergeCell ref="J243:J244"/>
    <mergeCell ref="P243:P244"/>
    <mergeCell ref="V243:V244"/>
    <mergeCell ref="AB243:AB244"/>
    <mergeCell ref="AH243:AH244"/>
    <mergeCell ref="J237:J238"/>
    <mergeCell ref="P237:P238"/>
    <mergeCell ref="V237:V238"/>
    <mergeCell ref="AB237:AB238"/>
    <mergeCell ref="AH237:AH238"/>
    <mergeCell ref="S217:S218"/>
    <mergeCell ref="T217:T218"/>
    <mergeCell ref="Y237:Y238"/>
    <mergeCell ref="Z237:Z238"/>
    <mergeCell ref="Y239:Y240"/>
    <mergeCell ref="Z239:Z240"/>
    <mergeCell ref="Y241:Y242"/>
    <mergeCell ref="Z241:Z242"/>
    <mergeCell ref="Y243:Y244"/>
    <mergeCell ref="Z243:Z244"/>
    <mergeCell ref="AC237:AC238"/>
    <mergeCell ref="AD237:AD238"/>
    <mergeCell ref="J247:J248"/>
    <mergeCell ref="P247:P248"/>
    <mergeCell ref="V247:V248"/>
    <mergeCell ref="AB247:AB248"/>
    <mergeCell ref="AH247:AH248"/>
    <mergeCell ref="J241:J242"/>
    <mergeCell ref="P241:P242"/>
    <mergeCell ref="V241:V242"/>
    <mergeCell ref="AB241:AB242"/>
    <mergeCell ref="AH241:AH242"/>
    <mergeCell ref="J251:J252"/>
    <mergeCell ref="P251:P252"/>
    <mergeCell ref="V251:V252"/>
    <mergeCell ref="AB251:AB252"/>
    <mergeCell ref="AH251:AH252"/>
    <mergeCell ref="J245:J246"/>
    <mergeCell ref="P245:P246"/>
    <mergeCell ref="V245:V246"/>
    <mergeCell ref="AB245:AB246"/>
    <mergeCell ref="AH245:AH246"/>
    <mergeCell ref="K245:K246"/>
    <mergeCell ref="L245:L246"/>
    <mergeCell ref="M245:M246"/>
    <mergeCell ref="N245:N246"/>
    <mergeCell ref="K247:K248"/>
    <mergeCell ref="L247:L248"/>
    <mergeCell ref="M247:M248"/>
    <mergeCell ref="N247:N248"/>
    <mergeCell ref="K249:K250"/>
    <mergeCell ref="L249:L250"/>
    <mergeCell ref="M249:M250"/>
    <mergeCell ref="N249:N250"/>
    <mergeCell ref="J253:J254"/>
    <mergeCell ref="P253:P254"/>
    <mergeCell ref="V253:V254"/>
    <mergeCell ref="AB253:AB254"/>
    <mergeCell ref="AH253:AH254"/>
    <mergeCell ref="J249:J250"/>
    <mergeCell ref="P249:P250"/>
    <mergeCell ref="V249:V250"/>
    <mergeCell ref="AB249:AB250"/>
    <mergeCell ref="AH249:AH250"/>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98:D99"/>
    <mergeCell ref="D96:D97"/>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77:D178"/>
    <mergeCell ref="D155:D156"/>
    <mergeCell ref="D157:D158"/>
    <mergeCell ref="D159:D160"/>
    <mergeCell ref="D161:D162"/>
    <mergeCell ref="D163:D164"/>
    <mergeCell ref="D165:D166"/>
    <mergeCell ref="D181:D182"/>
    <mergeCell ref="D183:D184"/>
    <mergeCell ref="D185:D186"/>
    <mergeCell ref="D187:D188"/>
    <mergeCell ref="D190:D191"/>
    <mergeCell ref="D167:D168"/>
    <mergeCell ref="D169:D170"/>
    <mergeCell ref="D171:D172"/>
    <mergeCell ref="D173:D174"/>
    <mergeCell ref="D175:D176"/>
    <mergeCell ref="D247:D248"/>
    <mergeCell ref="D249:D250"/>
    <mergeCell ref="D251:D252"/>
    <mergeCell ref="D253:D254"/>
    <mergeCell ref="D192:D193"/>
    <mergeCell ref="D237:D238"/>
    <mergeCell ref="D239:D240"/>
    <mergeCell ref="D241:D242"/>
    <mergeCell ref="D243:D244"/>
    <mergeCell ref="D245:D246"/>
    <mergeCell ref="D198:D199"/>
    <mergeCell ref="D208:D209"/>
    <mergeCell ref="A8:P8"/>
    <mergeCell ref="B152:AH152"/>
    <mergeCell ref="B189:AH189"/>
    <mergeCell ref="B194:AH194"/>
    <mergeCell ref="B195:AH195"/>
    <mergeCell ref="D179:D180"/>
    <mergeCell ref="E15:E16"/>
    <mergeCell ref="B256:AH256"/>
    <mergeCell ref="A2:P2"/>
    <mergeCell ref="A3:L3"/>
    <mergeCell ref="B14:AH14"/>
    <mergeCell ref="B39:AH39"/>
    <mergeCell ref="B58:AH58"/>
    <mergeCell ref="B73:AH73"/>
    <mergeCell ref="B80:AH80"/>
    <mergeCell ref="B81:AH81"/>
    <mergeCell ref="B124:AH124"/>
    <mergeCell ref="F15:F16"/>
    <mergeCell ref="G15:G16"/>
    <mergeCell ref="H15:H16"/>
    <mergeCell ref="K15:K16"/>
    <mergeCell ref="L15:L16"/>
    <mergeCell ref="M15:M16"/>
    <mergeCell ref="J15:J16"/>
    <mergeCell ref="N15:N16"/>
    <mergeCell ref="Q15:Q16"/>
    <mergeCell ref="R15:R16"/>
    <mergeCell ref="S15:S16"/>
    <mergeCell ref="T15:T16"/>
    <mergeCell ref="U15:U16"/>
    <mergeCell ref="O15:O16"/>
    <mergeCell ref="P15:P16"/>
    <mergeCell ref="W15:W16"/>
    <mergeCell ref="X15:X16"/>
    <mergeCell ref="Y15:Y16"/>
    <mergeCell ref="Z15:Z16"/>
    <mergeCell ref="AA15:AA16"/>
    <mergeCell ref="AC15:AC16"/>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T19:T20"/>
    <mergeCell ref="U19:U20"/>
    <mergeCell ref="W19:W20"/>
    <mergeCell ref="X19:X20"/>
    <mergeCell ref="Y19:Y20"/>
    <mergeCell ref="Z19:Z20"/>
    <mergeCell ref="AA19:AA20"/>
    <mergeCell ref="AC19:AC20"/>
    <mergeCell ref="AD19:AD20"/>
    <mergeCell ref="AE19:AE20"/>
    <mergeCell ref="AF19:AF20"/>
    <mergeCell ref="AG19:AG20"/>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I21:I22"/>
    <mergeCell ref="J21:J22"/>
    <mergeCell ref="O21:O22"/>
    <mergeCell ref="Z25:Z26"/>
    <mergeCell ref="AA25:AA26"/>
    <mergeCell ref="AC25:AC26"/>
    <mergeCell ref="AD25:AD26"/>
    <mergeCell ref="AE25:AE26"/>
    <mergeCell ref="AF25:AF26"/>
    <mergeCell ref="AG25:AG26"/>
    <mergeCell ref="E27:E28"/>
    <mergeCell ref="F27:F28"/>
    <mergeCell ref="G27:G28"/>
    <mergeCell ref="H27:H28"/>
    <mergeCell ref="K27:K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Z29:Z30"/>
    <mergeCell ref="AA29:AA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Z33:Z34"/>
    <mergeCell ref="AA33:AA34"/>
    <mergeCell ref="AC33:AC34"/>
    <mergeCell ref="AD33:AD34"/>
    <mergeCell ref="AE33:AE34"/>
    <mergeCell ref="AF33:AF34"/>
    <mergeCell ref="AG33:AG34"/>
    <mergeCell ref="AB33:AB34"/>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I33:I34"/>
    <mergeCell ref="J33:J34"/>
    <mergeCell ref="T37:T38"/>
    <mergeCell ref="U37:U38"/>
    <mergeCell ref="W37:W38"/>
    <mergeCell ref="X37:X38"/>
    <mergeCell ref="Y37:Y38"/>
    <mergeCell ref="Z37:Z38"/>
    <mergeCell ref="AA37:AA38"/>
    <mergeCell ref="AC37:AC38"/>
    <mergeCell ref="AD37:AD38"/>
    <mergeCell ref="AE37:AE38"/>
    <mergeCell ref="AF37:AF38"/>
    <mergeCell ref="AG37:AG38"/>
    <mergeCell ref="E40:E41"/>
    <mergeCell ref="F40:F41"/>
    <mergeCell ref="G40:G41"/>
    <mergeCell ref="H40:H41"/>
    <mergeCell ref="E42:E43"/>
    <mergeCell ref="F42:F43"/>
    <mergeCell ref="G42:G43"/>
    <mergeCell ref="H42:H43"/>
    <mergeCell ref="S40:S41"/>
    <mergeCell ref="T40:T41"/>
    <mergeCell ref="S42:S43"/>
    <mergeCell ref="T42:T43"/>
    <mergeCell ref="Y40:Y41"/>
    <mergeCell ref="Z40:Z41"/>
    <mergeCell ref="Y42:Y43"/>
    <mergeCell ref="Z42:Z43"/>
    <mergeCell ref="AC40:AC41"/>
    <mergeCell ref="AD40:AD41"/>
    <mergeCell ref="AB40:AB41"/>
    <mergeCell ref="G52:G53"/>
    <mergeCell ref="H52:H53"/>
    <mergeCell ref="E54:E55"/>
    <mergeCell ref="F54:F55"/>
    <mergeCell ref="G54:G55"/>
    <mergeCell ref="H54:H55"/>
    <mergeCell ref="G56:G57"/>
    <mergeCell ref="H56:H57"/>
    <mergeCell ref="K40:K41"/>
    <mergeCell ref="L40:L41"/>
    <mergeCell ref="M40:M41"/>
    <mergeCell ref="N40:N41"/>
    <mergeCell ref="K42:K43"/>
    <mergeCell ref="L42:L43"/>
    <mergeCell ref="M42:M43"/>
    <mergeCell ref="N42:N43"/>
    <mergeCell ref="K44:K45"/>
    <mergeCell ref="L44:L45"/>
    <mergeCell ref="M44:M45"/>
    <mergeCell ref="N44:N45"/>
    <mergeCell ref="K46:K47"/>
    <mergeCell ref="L46:L47"/>
    <mergeCell ref="M46:M47"/>
    <mergeCell ref="N46:N47"/>
    <mergeCell ref="K48:K49"/>
    <mergeCell ref="L48:L49"/>
    <mergeCell ref="M48:M49"/>
    <mergeCell ref="N48:N49"/>
    <mergeCell ref="K50:K51"/>
    <mergeCell ref="L50:L51"/>
    <mergeCell ref="M50:M51"/>
    <mergeCell ref="N50:N51"/>
    <mergeCell ref="K52:K53"/>
    <mergeCell ref="L52:L53"/>
    <mergeCell ref="M52:M53"/>
    <mergeCell ref="N52:N53"/>
    <mergeCell ref="K54:K55"/>
    <mergeCell ref="L54:L55"/>
    <mergeCell ref="M54:M55"/>
    <mergeCell ref="N54:N55"/>
    <mergeCell ref="K56:K57"/>
    <mergeCell ref="L56:L57"/>
    <mergeCell ref="M56:M57"/>
    <mergeCell ref="N56:N57"/>
    <mergeCell ref="Q40:Q41"/>
    <mergeCell ref="R40:R41"/>
    <mergeCell ref="Q44:Q45"/>
    <mergeCell ref="R44:R45"/>
    <mergeCell ref="Q48:Q49"/>
    <mergeCell ref="R48:R49"/>
    <mergeCell ref="Q42:Q43"/>
    <mergeCell ref="R42:R43"/>
    <mergeCell ref="Q46:Q47"/>
    <mergeCell ref="R46:R47"/>
    <mergeCell ref="Q50:Q51"/>
    <mergeCell ref="R50:R51"/>
    <mergeCell ref="Q52:Q53"/>
    <mergeCell ref="R52:R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W42:W43"/>
    <mergeCell ref="X42:X43"/>
    <mergeCell ref="W46:W47"/>
    <mergeCell ref="X46:X47"/>
    <mergeCell ref="Z46:Z47"/>
    <mergeCell ref="Y48:Y49"/>
    <mergeCell ref="Z48:Z49"/>
    <mergeCell ref="W50:W51"/>
    <mergeCell ref="X50:X51"/>
    <mergeCell ref="Y50:Y51"/>
    <mergeCell ref="Z50:Z51"/>
    <mergeCell ref="W52:W53"/>
    <mergeCell ref="X52:X53"/>
    <mergeCell ref="Y52:Y53"/>
    <mergeCell ref="Z52:Z53"/>
    <mergeCell ref="W54:W55"/>
    <mergeCell ref="X54:X55"/>
    <mergeCell ref="Y54:Y55"/>
    <mergeCell ref="Z54:Z55"/>
    <mergeCell ref="W56:W57"/>
    <mergeCell ref="X56:X57"/>
    <mergeCell ref="Y56:Y57"/>
    <mergeCell ref="Z56:Z57"/>
    <mergeCell ref="AC44:AC45"/>
    <mergeCell ref="AD44:AD45"/>
    <mergeCell ref="AC48:AC49"/>
    <mergeCell ref="AD48:AD49"/>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S50:S51"/>
    <mergeCell ref="T50:T51"/>
    <mergeCell ref="R61:R62"/>
    <mergeCell ref="S61:S62"/>
    <mergeCell ref="T61:T62"/>
    <mergeCell ref="Q63:Q64"/>
    <mergeCell ref="R63:R64"/>
    <mergeCell ref="S63:S64"/>
    <mergeCell ref="T63:T64"/>
    <mergeCell ref="Q65:Q66"/>
    <mergeCell ref="R65:R66"/>
    <mergeCell ref="S65:S66"/>
    <mergeCell ref="T65:T66"/>
    <mergeCell ref="Q67:Q68"/>
    <mergeCell ref="R67:R68"/>
    <mergeCell ref="S67:S68"/>
    <mergeCell ref="T67:T68"/>
    <mergeCell ref="Q69:Q70"/>
    <mergeCell ref="R69:R70"/>
    <mergeCell ref="S69:S70"/>
    <mergeCell ref="T69:T7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AC71:AC72"/>
    <mergeCell ref="AD71:AD72"/>
    <mergeCell ref="AE71:AE72"/>
    <mergeCell ref="AF71:AF72"/>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E93:E94"/>
    <mergeCell ref="F93:F94"/>
    <mergeCell ref="G93:G94"/>
    <mergeCell ref="H93:H94"/>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E96:E97"/>
    <mergeCell ref="F96:F97"/>
    <mergeCell ref="G96:G97"/>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Q96:Q97"/>
    <mergeCell ref="R96:R97"/>
    <mergeCell ref="S96:S97"/>
    <mergeCell ref="T96:T97"/>
    <mergeCell ref="Q98:Q99"/>
    <mergeCell ref="R98:R99"/>
    <mergeCell ref="S98:S99"/>
    <mergeCell ref="T98:T99"/>
    <mergeCell ref="Q100:Q101"/>
    <mergeCell ref="R100:R101"/>
    <mergeCell ref="S100:S101"/>
    <mergeCell ref="T100:T101"/>
    <mergeCell ref="E106:E107"/>
    <mergeCell ref="F106:F107"/>
    <mergeCell ref="G106:G107"/>
    <mergeCell ref="H106:H107"/>
    <mergeCell ref="K96:K97"/>
    <mergeCell ref="L96:L97"/>
    <mergeCell ref="M96:M97"/>
    <mergeCell ref="N96:N97"/>
    <mergeCell ref="K98:K99"/>
    <mergeCell ref="L98:L99"/>
    <mergeCell ref="M98:M99"/>
    <mergeCell ref="N98:N99"/>
    <mergeCell ref="K100:K101"/>
    <mergeCell ref="L100:L101"/>
    <mergeCell ref="M100:M101"/>
    <mergeCell ref="N100:N101"/>
    <mergeCell ref="K102:K103"/>
    <mergeCell ref="L102:L103"/>
    <mergeCell ref="M102:M103"/>
    <mergeCell ref="N102:N103"/>
    <mergeCell ref="K104:K105"/>
    <mergeCell ref="L104:L105"/>
    <mergeCell ref="M104:M105"/>
    <mergeCell ref="N104:N105"/>
    <mergeCell ref="K106:K107"/>
    <mergeCell ref="L106:L107"/>
    <mergeCell ref="M106:M107"/>
    <mergeCell ref="N106:N107"/>
    <mergeCell ref="J102:J103"/>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E104:E105"/>
    <mergeCell ref="F104:F105"/>
    <mergeCell ref="G104:G105"/>
    <mergeCell ref="H104:H105"/>
    <mergeCell ref="P102:P103"/>
    <mergeCell ref="V102:V103"/>
    <mergeCell ref="W106:W107"/>
    <mergeCell ref="X106:X107"/>
    <mergeCell ref="Y106:Y107"/>
    <mergeCell ref="Z106:Z107"/>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AC106:AC107"/>
    <mergeCell ref="AD106:AD107"/>
    <mergeCell ref="AE106:AE107"/>
    <mergeCell ref="AF106:AF107"/>
    <mergeCell ref="W96:W97"/>
    <mergeCell ref="X96:X97"/>
    <mergeCell ref="Y96:Y97"/>
    <mergeCell ref="Z96:Z97"/>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M110:M111"/>
    <mergeCell ref="N110:N111"/>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J125:J126"/>
    <mergeCell ref="P125:P126"/>
    <mergeCell ref="V125:V126"/>
    <mergeCell ref="AB125:AB126"/>
    <mergeCell ref="N125:N126"/>
    <mergeCell ref="Q125:Q126"/>
    <mergeCell ref="AH125:AH126"/>
    <mergeCell ref="E125:E126"/>
    <mergeCell ref="F125:F126"/>
    <mergeCell ref="G125:G126"/>
    <mergeCell ref="H125:H126"/>
    <mergeCell ref="E127:E128"/>
    <mergeCell ref="F127:F128"/>
    <mergeCell ref="G127:G128"/>
    <mergeCell ref="H127:H128"/>
    <mergeCell ref="M125:M126"/>
    <mergeCell ref="R125:R126"/>
    <mergeCell ref="S125:S126"/>
    <mergeCell ref="T125:T126"/>
    <mergeCell ref="Q127:Q128"/>
    <mergeCell ref="R127:R128"/>
    <mergeCell ref="S127:S128"/>
    <mergeCell ref="T127:T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K125:K126"/>
    <mergeCell ref="L125:L126"/>
    <mergeCell ref="K127:K128"/>
    <mergeCell ref="L127:L128"/>
    <mergeCell ref="K131:K132"/>
    <mergeCell ref="L131:L132"/>
    <mergeCell ref="M127:M128"/>
    <mergeCell ref="N127:N128"/>
    <mergeCell ref="K129:K130"/>
    <mergeCell ref="L129:L130"/>
    <mergeCell ref="M129:M130"/>
    <mergeCell ref="N129:N130"/>
    <mergeCell ref="M131:M132"/>
    <mergeCell ref="N131:N132"/>
    <mergeCell ref="K133:K134"/>
    <mergeCell ref="L133:L134"/>
    <mergeCell ref="M133:M134"/>
    <mergeCell ref="N133:N134"/>
    <mergeCell ref="K135:K136"/>
    <mergeCell ref="L135:L136"/>
    <mergeCell ref="M135:M136"/>
    <mergeCell ref="N135:N136"/>
    <mergeCell ref="K137:K138"/>
    <mergeCell ref="L137:L138"/>
    <mergeCell ref="Q129:Q130"/>
    <mergeCell ref="R129:R130"/>
    <mergeCell ref="S129:S130"/>
    <mergeCell ref="T129:T130"/>
    <mergeCell ref="Q131:Q132"/>
    <mergeCell ref="R131:R132"/>
    <mergeCell ref="S131:S132"/>
    <mergeCell ref="T131:T132"/>
    <mergeCell ref="Q133:Q134"/>
    <mergeCell ref="R133:R134"/>
    <mergeCell ref="S133:S134"/>
    <mergeCell ref="T133:T134"/>
    <mergeCell ref="Q135:Q136"/>
    <mergeCell ref="R135:R136"/>
    <mergeCell ref="S135:S136"/>
    <mergeCell ref="T135:T136"/>
    <mergeCell ref="Q137:Q138"/>
    <mergeCell ref="R137:R138"/>
    <mergeCell ref="S137:S138"/>
    <mergeCell ref="T137:T138"/>
    <mergeCell ref="S141:S142"/>
    <mergeCell ref="T141:T142"/>
    <mergeCell ref="W125:W126"/>
    <mergeCell ref="X125:X126"/>
    <mergeCell ref="W129:W130"/>
    <mergeCell ref="X129:X130"/>
    <mergeCell ref="W133:W134"/>
    <mergeCell ref="X133:X134"/>
    <mergeCell ref="Y125:Y126"/>
    <mergeCell ref="Z125:Z126"/>
    <mergeCell ref="W127:W128"/>
    <mergeCell ref="X127:X128"/>
    <mergeCell ref="Y127:Y128"/>
    <mergeCell ref="Z127:Z128"/>
    <mergeCell ref="Y129:Y130"/>
    <mergeCell ref="Z129:Z130"/>
    <mergeCell ref="W131:W132"/>
    <mergeCell ref="X131:X132"/>
    <mergeCell ref="Y131:Y132"/>
    <mergeCell ref="Z131:Z132"/>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AE125:AE126"/>
    <mergeCell ref="AF125:AF126"/>
    <mergeCell ref="AC127:AC128"/>
    <mergeCell ref="AD127:AD128"/>
    <mergeCell ref="AE127:AE128"/>
    <mergeCell ref="AF127:AF128"/>
    <mergeCell ref="AC125:AC126"/>
    <mergeCell ref="AD125:AD126"/>
    <mergeCell ref="AE129:AE130"/>
    <mergeCell ref="AF129:AF130"/>
    <mergeCell ref="AC131:AC132"/>
    <mergeCell ref="AD131:AD132"/>
    <mergeCell ref="AE131:AE132"/>
    <mergeCell ref="AF131:AF132"/>
    <mergeCell ref="AC129:AC130"/>
    <mergeCell ref="AD129:AD130"/>
    <mergeCell ref="AE133:AE134"/>
    <mergeCell ref="AF133:AF134"/>
    <mergeCell ref="AC135:AC136"/>
    <mergeCell ref="AD135:AD136"/>
    <mergeCell ref="AE135:AE136"/>
    <mergeCell ref="AF135:AF136"/>
    <mergeCell ref="AC133:AC134"/>
    <mergeCell ref="AD133:AD134"/>
    <mergeCell ref="AC137:AC138"/>
    <mergeCell ref="AD137:AD138"/>
    <mergeCell ref="AE137:AE138"/>
    <mergeCell ref="AF137:AF138"/>
    <mergeCell ref="AC139:AC140"/>
    <mergeCell ref="AD139:AD140"/>
    <mergeCell ref="AE139:AE140"/>
    <mergeCell ref="AF139:AF140"/>
    <mergeCell ref="AE141:AE142"/>
    <mergeCell ref="AF141:AF142"/>
    <mergeCell ref="E146:E147"/>
    <mergeCell ref="F146:F147"/>
    <mergeCell ref="G146:G147"/>
    <mergeCell ref="H146:H147"/>
    <mergeCell ref="K146:K147"/>
    <mergeCell ref="L146:L147"/>
    <mergeCell ref="W141:W142"/>
    <mergeCell ref="X141:X142"/>
    <mergeCell ref="E150:E151"/>
    <mergeCell ref="F150:F151"/>
    <mergeCell ref="G150:G151"/>
    <mergeCell ref="H150:H151"/>
    <mergeCell ref="AC141:AC142"/>
    <mergeCell ref="AD141:AD142"/>
    <mergeCell ref="Y141:Y142"/>
    <mergeCell ref="Z141:Z142"/>
    <mergeCell ref="Q141:Q142"/>
    <mergeCell ref="R141:R142"/>
    <mergeCell ref="K148:K149"/>
    <mergeCell ref="L148:L149"/>
    <mergeCell ref="M148:M149"/>
    <mergeCell ref="N148:N149"/>
    <mergeCell ref="E148:E149"/>
    <mergeCell ref="F148:F149"/>
    <mergeCell ref="G148:G149"/>
    <mergeCell ref="H148:H149"/>
    <mergeCell ref="K150:K151"/>
    <mergeCell ref="L150:L151"/>
    <mergeCell ref="Q146:Q147"/>
    <mergeCell ref="R146:R147"/>
    <mergeCell ref="Q150:Q151"/>
    <mergeCell ref="R150:R151"/>
    <mergeCell ref="M146:M147"/>
    <mergeCell ref="N146:N147"/>
    <mergeCell ref="S146:S147"/>
    <mergeCell ref="T146:T147"/>
    <mergeCell ref="Q148:Q149"/>
    <mergeCell ref="R148:R149"/>
    <mergeCell ref="S148:S149"/>
    <mergeCell ref="T148:T149"/>
    <mergeCell ref="S150:S151"/>
    <mergeCell ref="T150:T151"/>
    <mergeCell ref="W146:W147"/>
    <mergeCell ref="X146:X147"/>
    <mergeCell ref="Y146:Y147"/>
    <mergeCell ref="Z146:Z147"/>
    <mergeCell ref="W148:W149"/>
    <mergeCell ref="X148:X149"/>
    <mergeCell ref="Y148:Y149"/>
    <mergeCell ref="Z148:Z149"/>
    <mergeCell ref="W150:W151"/>
    <mergeCell ref="X150:X151"/>
    <mergeCell ref="Y150:Y151"/>
    <mergeCell ref="Z150:Z151"/>
    <mergeCell ref="AC146:AC147"/>
    <mergeCell ref="AD146:AD147"/>
    <mergeCell ref="AC150:AC151"/>
    <mergeCell ref="AD150:AD151"/>
    <mergeCell ref="AE146:AE147"/>
    <mergeCell ref="AF146:AF147"/>
    <mergeCell ref="AC148:AC149"/>
    <mergeCell ref="AD148:AD149"/>
    <mergeCell ref="AE148:AE149"/>
    <mergeCell ref="AF148:AF149"/>
    <mergeCell ref="AE150:AE151"/>
    <mergeCell ref="AF150:AF151"/>
    <mergeCell ref="E153:E154"/>
    <mergeCell ref="F153:F154"/>
    <mergeCell ref="G153:G154"/>
    <mergeCell ref="H153:H154"/>
    <mergeCell ref="M153:M154"/>
    <mergeCell ref="N153:N154"/>
    <mergeCell ref="S153:S154"/>
    <mergeCell ref="T153:T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L153:L154"/>
    <mergeCell ref="L155:L156"/>
    <mergeCell ref="L159:L160"/>
    <mergeCell ref="M155:M156"/>
    <mergeCell ref="N155:N156"/>
    <mergeCell ref="L157:L158"/>
    <mergeCell ref="M157:M158"/>
    <mergeCell ref="N157:N158"/>
    <mergeCell ref="M159:M160"/>
    <mergeCell ref="N159:N160"/>
    <mergeCell ref="Q153:Q154"/>
    <mergeCell ref="R153:R154"/>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53:K154"/>
    <mergeCell ref="K155:K156"/>
    <mergeCell ref="K159:K160"/>
    <mergeCell ref="K157:K158"/>
    <mergeCell ref="K161:K162"/>
    <mergeCell ref="K163:K164"/>
    <mergeCell ref="K165:K166"/>
    <mergeCell ref="K167:K168"/>
    <mergeCell ref="K169:K170"/>
    <mergeCell ref="K171:K172"/>
    <mergeCell ref="K173:K174"/>
    <mergeCell ref="K175:K176"/>
    <mergeCell ref="K177:K178"/>
    <mergeCell ref="K179:K180"/>
    <mergeCell ref="K181:K182"/>
    <mergeCell ref="K183:K184"/>
    <mergeCell ref="T159:T160"/>
    <mergeCell ref="Q161:Q162"/>
    <mergeCell ref="R161:R162"/>
    <mergeCell ref="S161:S162"/>
    <mergeCell ref="T161:T162"/>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W157:W158"/>
    <mergeCell ref="X157:X158"/>
    <mergeCell ref="W161:W162"/>
    <mergeCell ref="X161:X162"/>
    <mergeCell ref="Y153:Y154"/>
    <mergeCell ref="Z153:Z154"/>
    <mergeCell ref="W155:W156"/>
    <mergeCell ref="X155:X156"/>
    <mergeCell ref="Y155:Y156"/>
    <mergeCell ref="Z155:Z156"/>
    <mergeCell ref="Y157:Y158"/>
    <mergeCell ref="Z157:Z158"/>
    <mergeCell ref="W159:W160"/>
    <mergeCell ref="X159:X160"/>
    <mergeCell ref="Y159:Y160"/>
    <mergeCell ref="Z159:Z160"/>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E190:E191"/>
    <mergeCell ref="F190:F191"/>
    <mergeCell ref="G190:G191"/>
    <mergeCell ref="H190:H191"/>
    <mergeCell ref="E192:E193"/>
    <mergeCell ref="F192:F193"/>
    <mergeCell ref="G192:G193"/>
    <mergeCell ref="H192:H193"/>
    <mergeCell ref="K190:K191"/>
    <mergeCell ref="L190:L191"/>
    <mergeCell ref="M190:M191"/>
    <mergeCell ref="N190:N191"/>
    <mergeCell ref="K192:K193"/>
    <mergeCell ref="L192:L193"/>
    <mergeCell ref="M192:M193"/>
    <mergeCell ref="N192:N193"/>
    <mergeCell ref="Q190:Q191"/>
    <mergeCell ref="R190:R191"/>
    <mergeCell ref="S190:S191"/>
    <mergeCell ref="T190:T191"/>
    <mergeCell ref="W190:W191"/>
    <mergeCell ref="X190:X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6:E197"/>
    <mergeCell ref="F196:F197"/>
    <mergeCell ref="G196:G197"/>
    <mergeCell ref="H196:H197"/>
    <mergeCell ref="Q196:Q197"/>
    <mergeCell ref="R196:R197"/>
    <mergeCell ref="S196:S197"/>
    <mergeCell ref="T196:T197"/>
    <mergeCell ref="J192:J193"/>
    <mergeCell ref="P192:P193"/>
    <mergeCell ref="V192:V193"/>
    <mergeCell ref="AB192:AB193"/>
    <mergeCell ref="M200:M201"/>
    <mergeCell ref="N200:N20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H213:H214"/>
    <mergeCell ref="E215:E216"/>
    <mergeCell ref="F215:F216"/>
    <mergeCell ref="G215:G216"/>
    <mergeCell ref="H215:H216"/>
    <mergeCell ref="E217:E218"/>
    <mergeCell ref="F217:F218"/>
    <mergeCell ref="G217:G218"/>
    <mergeCell ref="H217:H218"/>
    <mergeCell ref="M213:M214"/>
    <mergeCell ref="N213:N214"/>
    <mergeCell ref="K215:K216"/>
    <mergeCell ref="L215:L216"/>
    <mergeCell ref="M215:M216"/>
    <mergeCell ref="N215:N216"/>
    <mergeCell ref="K217:K218"/>
    <mergeCell ref="L217:L218"/>
    <mergeCell ref="M217:M218"/>
    <mergeCell ref="N217:N218"/>
    <mergeCell ref="Q213:Q214"/>
    <mergeCell ref="R213:R214"/>
    <mergeCell ref="Q217:Q218"/>
    <mergeCell ref="R217:R218"/>
    <mergeCell ref="K213:K214"/>
    <mergeCell ref="X215:X216"/>
    <mergeCell ref="Y215:Y216"/>
    <mergeCell ref="Z215:Z216"/>
    <mergeCell ref="W217:W218"/>
    <mergeCell ref="X217:X218"/>
    <mergeCell ref="Y217:Y218"/>
    <mergeCell ref="Z217:Z218"/>
    <mergeCell ref="AC213:AC214"/>
    <mergeCell ref="AD213:AD214"/>
    <mergeCell ref="AC217:AC218"/>
    <mergeCell ref="AD217:AD218"/>
    <mergeCell ref="AE213:AE214"/>
    <mergeCell ref="AF213:AF214"/>
    <mergeCell ref="AC215:AC216"/>
    <mergeCell ref="AD215:AD216"/>
    <mergeCell ref="AE215:AE216"/>
    <mergeCell ref="AF215:AF216"/>
    <mergeCell ref="AE217:AE218"/>
    <mergeCell ref="AF217:AF218"/>
    <mergeCell ref="E237:E238"/>
    <mergeCell ref="F237:F238"/>
    <mergeCell ref="G237:G238"/>
    <mergeCell ref="H237:H238"/>
    <mergeCell ref="K237:K238"/>
    <mergeCell ref="L237:L238"/>
    <mergeCell ref="M237:M238"/>
    <mergeCell ref="N237:N238"/>
    <mergeCell ref="E239:E240"/>
    <mergeCell ref="F239:F240"/>
    <mergeCell ref="G239:G240"/>
    <mergeCell ref="H239:H240"/>
    <mergeCell ref="E241:E242"/>
    <mergeCell ref="F241:F242"/>
    <mergeCell ref="G241:G242"/>
    <mergeCell ref="H241:H242"/>
    <mergeCell ref="E243:E244"/>
    <mergeCell ref="F243:F244"/>
    <mergeCell ref="G243:G244"/>
    <mergeCell ref="H243:H244"/>
    <mergeCell ref="K239:K240"/>
    <mergeCell ref="L239:L240"/>
    <mergeCell ref="M239:M240"/>
    <mergeCell ref="N239:N240"/>
    <mergeCell ref="K241:K242"/>
    <mergeCell ref="L241:L242"/>
    <mergeCell ref="M241:M242"/>
    <mergeCell ref="N241:N242"/>
    <mergeCell ref="K243:K244"/>
    <mergeCell ref="L243:L244"/>
    <mergeCell ref="M243:M244"/>
    <mergeCell ref="N243:N244"/>
    <mergeCell ref="E245:E246"/>
    <mergeCell ref="F245:F246"/>
    <mergeCell ref="G245:G246"/>
    <mergeCell ref="H245:H246"/>
    <mergeCell ref="E247:E248"/>
    <mergeCell ref="F247:F248"/>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K251:K252"/>
    <mergeCell ref="L251:L252"/>
    <mergeCell ref="M251:M252"/>
    <mergeCell ref="N251:N252"/>
    <mergeCell ref="K253:K254"/>
    <mergeCell ref="L253:L254"/>
    <mergeCell ref="M253:M254"/>
    <mergeCell ref="N253:N254"/>
    <mergeCell ref="Q237:Q238"/>
    <mergeCell ref="R237:R238"/>
    <mergeCell ref="S237:S238"/>
    <mergeCell ref="T237:T238"/>
    <mergeCell ref="Q239:Q240"/>
    <mergeCell ref="R239:R240"/>
    <mergeCell ref="S239:S240"/>
    <mergeCell ref="T239:T240"/>
    <mergeCell ref="Q241:Q242"/>
    <mergeCell ref="R241:R242"/>
    <mergeCell ref="S241:S242"/>
    <mergeCell ref="T241:T242"/>
    <mergeCell ref="Q243:Q244"/>
    <mergeCell ref="R243:R244"/>
    <mergeCell ref="S243:S244"/>
    <mergeCell ref="T243:T244"/>
    <mergeCell ref="Q245:Q246"/>
    <mergeCell ref="R245:R246"/>
    <mergeCell ref="S245:S246"/>
    <mergeCell ref="T245:T246"/>
    <mergeCell ref="Q247:Q248"/>
    <mergeCell ref="R247:R248"/>
    <mergeCell ref="S247:S248"/>
    <mergeCell ref="T247:T248"/>
    <mergeCell ref="Q249:Q250"/>
    <mergeCell ref="R249:R250"/>
    <mergeCell ref="S249:S250"/>
    <mergeCell ref="T249:T250"/>
    <mergeCell ref="Q251:Q252"/>
    <mergeCell ref="R251:R252"/>
    <mergeCell ref="S251:S252"/>
    <mergeCell ref="T251:T252"/>
    <mergeCell ref="Q253:Q254"/>
    <mergeCell ref="R253:R254"/>
    <mergeCell ref="S253:S254"/>
    <mergeCell ref="T253:T254"/>
    <mergeCell ref="W237:W238"/>
    <mergeCell ref="X237:X238"/>
    <mergeCell ref="W241:W242"/>
    <mergeCell ref="X241:X242"/>
    <mergeCell ref="W245:W246"/>
    <mergeCell ref="X245:X246"/>
    <mergeCell ref="W239:W240"/>
    <mergeCell ref="X239:X240"/>
    <mergeCell ref="W243:W244"/>
    <mergeCell ref="X243:X244"/>
    <mergeCell ref="AE247:AE248"/>
    <mergeCell ref="AF247:AF248"/>
    <mergeCell ref="Y245:Y246"/>
    <mergeCell ref="Z245:Z246"/>
    <mergeCell ref="W247:W248"/>
    <mergeCell ref="X247:X248"/>
    <mergeCell ref="Y247:Y248"/>
    <mergeCell ref="Z247:Z248"/>
    <mergeCell ref="W249:W250"/>
    <mergeCell ref="X249:X250"/>
    <mergeCell ref="Y249:Y250"/>
    <mergeCell ref="Z249:Z250"/>
    <mergeCell ref="W251:W252"/>
    <mergeCell ref="X251:X252"/>
    <mergeCell ref="Y251:Y252"/>
    <mergeCell ref="Z251:Z252"/>
    <mergeCell ref="W253:W254"/>
    <mergeCell ref="X253:X254"/>
    <mergeCell ref="Y253:Y254"/>
    <mergeCell ref="Z253:Z254"/>
    <mergeCell ref="AC253:AC254"/>
    <mergeCell ref="AD253:AD254"/>
    <mergeCell ref="AE253:AE254"/>
    <mergeCell ref="AF253:AF254"/>
    <mergeCell ref="AC249:AC250"/>
    <mergeCell ref="AD249:AD250"/>
    <mergeCell ref="AE249:AE250"/>
    <mergeCell ref="AF249:AF250"/>
    <mergeCell ref="AC251:AC252"/>
    <mergeCell ref="AD251:AD252"/>
    <mergeCell ref="AC241:AC242"/>
    <mergeCell ref="AD241:AD242"/>
    <mergeCell ref="AC245:AC246"/>
    <mergeCell ref="AD245:AD246"/>
    <mergeCell ref="AE237:AE238"/>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51:AE252"/>
    <mergeCell ref="AF251:AF252"/>
    <mergeCell ref="AE245:AE246"/>
    <mergeCell ref="AF245:AF246"/>
    <mergeCell ref="AC247:AC248"/>
    <mergeCell ref="AD247:AD248"/>
  </mergeCells>
  <pageMargins left="0.2" right="0.2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6F338-51DA-4C2F-BF1D-BE1A2C9D822A}">
  <sheetPr>
    <pageSetUpPr fitToPage="1"/>
  </sheetPr>
  <dimension ref="A1:AH256"/>
  <sheetViews>
    <sheetView zoomScaleNormal="100" workbookViewId="0">
      <pane xSplit="3" ySplit="12" topLeftCell="D241" activePane="bottomRight" state="frozen"/>
      <selection pane="topRight" activeCell="L1" sqref="L1"/>
      <selection pane="bottomLeft" activeCell="A13" sqref="A13"/>
      <selection pane="bottomRight" activeCell="E237" sqref="E237:H254"/>
    </sheetView>
  </sheetViews>
  <sheetFormatPr defaultColWidth="9.109375" defaultRowHeight="10.199999999999999" x14ac:dyDescent="0.2"/>
  <cols>
    <col min="1" max="1" width="7.33203125" style="11" customWidth="1"/>
    <col min="2" max="2" width="24.109375" style="31" customWidth="1"/>
    <col min="3" max="3" width="7.33203125" style="11" customWidth="1"/>
    <col min="4" max="4" width="3.44140625" style="11" customWidth="1"/>
    <col min="5" max="33" width="4.77734375" style="11" customWidth="1"/>
    <col min="34" max="34" width="5.33203125" style="11" customWidth="1"/>
    <col min="35" max="16384" width="9.109375" style="11"/>
  </cols>
  <sheetData>
    <row r="1" spans="1:34" x14ac:dyDescent="0.2">
      <c r="A1" s="9"/>
      <c r="B1" s="10"/>
      <c r="C1" s="9"/>
      <c r="D1" s="9"/>
    </row>
    <row r="2" spans="1:34" x14ac:dyDescent="0.2">
      <c r="A2" s="297" t="s">
        <v>51</v>
      </c>
      <c r="B2" s="297"/>
      <c r="C2" s="297"/>
      <c r="D2" s="269"/>
      <c r="E2" s="269"/>
      <c r="F2" s="269"/>
      <c r="G2" s="269"/>
      <c r="H2" s="326"/>
      <c r="I2" s="326"/>
      <c r="J2" s="326"/>
      <c r="K2" s="326"/>
      <c r="L2" s="326"/>
      <c r="M2" s="326"/>
      <c r="N2" s="326"/>
      <c r="O2" s="326"/>
      <c r="P2" s="326"/>
    </row>
    <row r="3" spans="1:34" x14ac:dyDescent="0.2">
      <c r="A3" s="297" t="s">
        <v>50</v>
      </c>
      <c r="B3" s="297"/>
      <c r="C3" s="297"/>
      <c r="D3" s="269"/>
      <c r="E3" s="269"/>
      <c r="F3" s="269"/>
      <c r="G3" s="269"/>
      <c r="J3" s="15"/>
    </row>
    <row r="4" spans="1:34" x14ac:dyDescent="0.2">
      <c r="A4" s="297" t="s">
        <v>56</v>
      </c>
      <c r="B4" s="297"/>
      <c r="C4" s="297"/>
      <c r="D4" s="12"/>
    </row>
    <row r="5" spans="1:34" x14ac:dyDescent="0.2">
      <c r="A5" s="271" t="s">
        <v>148</v>
      </c>
      <c r="B5" s="269"/>
      <c r="C5" s="12"/>
      <c r="D5" s="14"/>
      <c r="Q5" s="11" t="s">
        <v>74</v>
      </c>
      <c r="R5" s="15"/>
      <c r="W5" s="11" t="s">
        <v>74</v>
      </c>
      <c r="Y5" s="278"/>
      <c r="AC5" s="11" t="s">
        <v>74</v>
      </c>
    </row>
    <row r="6" spans="1:34" x14ac:dyDescent="0.2">
      <c r="A6" s="271" t="s">
        <v>154</v>
      </c>
      <c r="B6" s="269"/>
      <c r="C6" s="12"/>
      <c r="D6" s="9"/>
      <c r="I6" s="16"/>
      <c r="J6" s="16"/>
      <c r="O6" s="16"/>
      <c r="U6" s="16"/>
      <c r="V6" s="16"/>
      <c r="Y6" s="278"/>
      <c r="AA6" s="16"/>
      <c r="AB6" s="16"/>
      <c r="AG6" s="16"/>
      <c r="AH6" s="16"/>
    </row>
    <row r="7" spans="1:34" x14ac:dyDescent="0.2">
      <c r="A7" s="268"/>
      <c r="B7" s="268"/>
      <c r="C7" s="268"/>
    </row>
    <row r="8" spans="1:34" x14ac:dyDescent="0.2">
      <c r="A8" s="268" t="s">
        <v>161</v>
      </c>
      <c r="B8" s="268"/>
      <c r="C8" s="268"/>
      <c r="D8" s="269"/>
      <c r="E8" s="269"/>
      <c r="F8" s="269"/>
      <c r="G8" s="269"/>
      <c r="H8" s="269"/>
      <c r="I8" s="269"/>
      <c r="J8" s="269"/>
      <c r="K8" s="269"/>
      <c r="L8" s="269"/>
      <c r="M8" s="326"/>
      <c r="N8" s="326"/>
      <c r="O8" s="326"/>
      <c r="P8" s="326"/>
      <c r="Q8" s="326"/>
      <c r="R8" s="326"/>
      <c r="S8" s="326"/>
      <c r="T8" s="326"/>
    </row>
    <row r="9" spans="1:34" x14ac:dyDescent="0.2">
      <c r="A9" s="9"/>
      <c r="B9" s="10"/>
      <c r="C9" s="9"/>
      <c r="D9" s="9"/>
    </row>
    <row r="10" spans="1:34" ht="20.399999999999999"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251"/>
      <c r="Q11" s="290" t="s">
        <v>93</v>
      </c>
      <c r="R11" s="290"/>
      <c r="S11" s="251"/>
      <c r="T11" s="251"/>
      <c r="U11" s="251"/>
      <c r="V11" s="251"/>
      <c r="W11" s="290" t="s">
        <v>93</v>
      </c>
      <c r="X11" s="290"/>
      <c r="Y11" s="251"/>
      <c r="Z11" s="251"/>
      <c r="AA11" s="251"/>
      <c r="AB11" s="251"/>
      <c r="AC11" s="290" t="s">
        <v>93</v>
      </c>
      <c r="AD11" s="290"/>
      <c r="AE11" s="251"/>
      <c r="AF11" s="251"/>
      <c r="AG11" s="251"/>
      <c r="AH11" s="251"/>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50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ht="15.75" customHeight="1"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ht="21.6" customHeight="1"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ht="15.75" customHeight="1"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26.4" customHeight="1"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ht="15.75" customHeight="1"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ht="28.8" customHeight="1"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28.2"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ht="15.75" customHeight="1"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ht="15.75" customHeight="1"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36" customHeight="1" x14ac:dyDescent="0.2">
      <c r="A82" s="289"/>
      <c r="B82" s="33" t="s">
        <v>95</v>
      </c>
      <c r="C82" s="34"/>
      <c r="D82" s="24" t="s">
        <v>135</v>
      </c>
      <c r="E82" s="35">
        <v>1</v>
      </c>
      <c r="F82" s="35">
        <v>1</v>
      </c>
      <c r="G82" s="35">
        <v>1</v>
      </c>
      <c r="H82" s="35">
        <v>1</v>
      </c>
      <c r="I82" s="35"/>
      <c r="J82" s="35">
        <v>4</v>
      </c>
      <c r="K82" s="35">
        <v>1</v>
      </c>
      <c r="L82" s="35">
        <v>1</v>
      </c>
      <c r="M82" s="35">
        <v>1</v>
      </c>
      <c r="N82" s="35">
        <v>1</v>
      </c>
      <c r="O82" s="35"/>
      <c r="P82" s="35">
        <v>4</v>
      </c>
      <c r="Q82" s="35">
        <v>1</v>
      </c>
      <c r="R82" s="35">
        <v>1</v>
      </c>
      <c r="S82" s="35">
        <v>1</v>
      </c>
      <c r="T82" s="35">
        <v>1</v>
      </c>
      <c r="U82" s="35"/>
      <c r="V82" s="35">
        <v>4</v>
      </c>
      <c r="W82" s="35">
        <v>1</v>
      </c>
      <c r="X82" s="35">
        <v>1</v>
      </c>
      <c r="Y82" s="35">
        <v>1</v>
      </c>
      <c r="Z82" s="35">
        <v>1</v>
      </c>
      <c r="AA82" s="35"/>
      <c r="AB82" s="35">
        <v>4</v>
      </c>
      <c r="AC82" s="35">
        <v>1</v>
      </c>
      <c r="AD82" s="35">
        <v>1</v>
      </c>
      <c r="AE82" s="35">
        <v>1</v>
      </c>
      <c r="AF82" s="35">
        <v>1</v>
      </c>
      <c r="AG82" s="35"/>
      <c r="AH82" s="35">
        <v>4</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ht="15.75" customHeight="1"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ht="15.75" customHeight="1"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ht="15.75" customHeight="1"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ht="15.75" customHeight="1"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ht="15.75" customHeight="1"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ht="15.75" customHeight="1" x14ac:dyDescent="0.2">
      <c r="A90" s="289"/>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ht="15.75" customHeight="1" x14ac:dyDescent="0.2">
      <c r="A91" s="289"/>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ht="15.75" customHeight="1" x14ac:dyDescent="0.2">
      <c r="A92" s="289"/>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ht="15.75" customHeight="1" x14ac:dyDescent="0.2">
      <c r="A93" s="289"/>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ht="15.75" customHeight="1" x14ac:dyDescent="0.2">
      <c r="A94" s="289"/>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7</v>
      </c>
      <c r="F95" s="162">
        <v>7</v>
      </c>
      <c r="G95" s="162">
        <v>7</v>
      </c>
      <c r="H95" s="162">
        <v>9</v>
      </c>
      <c r="I95" s="35"/>
      <c r="J95" s="35">
        <v>30</v>
      </c>
      <c r="K95" s="162">
        <v>7</v>
      </c>
      <c r="L95" s="162">
        <v>7</v>
      </c>
      <c r="M95" s="162">
        <v>7</v>
      </c>
      <c r="N95" s="162">
        <v>9</v>
      </c>
      <c r="O95" s="35"/>
      <c r="P95" s="35">
        <v>30</v>
      </c>
      <c r="Q95" s="162">
        <v>7</v>
      </c>
      <c r="R95" s="162">
        <v>7</v>
      </c>
      <c r="S95" s="162">
        <v>7</v>
      </c>
      <c r="T95" s="162">
        <v>9</v>
      </c>
      <c r="U95" s="35"/>
      <c r="V95" s="35">
        <v>30</v>
      </c>
      <c r="W95" s="162">
        <v>7</v>
      </c>
      <c r="X95" s="162">
        <v>7</v>
      </c>
      <c r="Y95" s="162">
        <v>7</v>
      </c>
      <c r="Z95" s="162">
        <v>9</v>
      </c>
      <c r="AA95" s="162"/>
      <c r="AB95" s="35">
        <v>30</v>
      </c>
      <c r="AC95" s="162">
        <v>7</v>
      </c>
      <c r="AD95" s="162">
        <v>7</v>
      </c>
      <c r="AE95" s="162">
        <v>7</v>
      </c>
      <c r="AF95" s="162">
        <v>9</v>
      </c>
      <c r="AG95" s="35"/>
      <c r="AH95" s="35">
        <v>30</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4" t="s">
        <v>135</v>
      </c>
      <c r="E109" s="23">
        <v>3</v>
      </c>
      <c r="F109" s="23">
        <v>3</v>
      </c>
      <c r="G109" s="23">
        <v>3</v>
      </c>
      <c r="H109" s="23">
        <v>3</v>
      </c>
      <c r="I109" s="26"/>
      <c r="J109" s="41">
        <v>12</v>
      </c>
      <c r="K109" s="23">
        <v>3</v>
      </c>
      <c r="L109" s="23">
        <v>3</v>
      </c>
      <c r="M109" s="23">
        <v>3</v>
      </c>
      <c r="N109" s="23">
        <v>3</v>
      </c>
      <c r="O109" s="26"/>
      <c r="P109" s="41">
        <v>12</v>
      </c>
      <c r="Q109" s="23">
        <v>3</v>
      </c>
      <c r="R109" s="23">
        <v>3</v>
      </c>
      <c r="S109" s="23">
        <v>3</v>
      </c>
      <c r="T109" s="23">
        <v>3</v>
      </c>
      <c r="U109" s="26"/>
      <c r="V109" s="41">
        <v>12</v>
      </c>
      <c r="W109" s="23">
        <v>3</v>
      </c>
      <c r="X109" s="23">
        <v>3</v>
      </c>
      <c r="Y109" s="23">
        <v>3</v>
      </c>
      <c r="Z109" s="23">
        <v>3</v>
      </c>
      <c r="AA109" s="26"/>
      <c r="AB109" s="41">
        <v>12</v>
      </c>
      <c r="AC109" s="23">
        <v>3</v>
      </c>
      <c r="AD109" s="23">
        <v>3</v>
      </c>
      <c r="AE109" s="23">
        <v>3</v>
      </c>
      <c r="AF109" s="23">
        <v>3</v>
      </c>
      <c r="AG109" s="26"/>
      <c r="AH109" s="41">
        <v>12</v>
      </c>
    </row>
    <row r="110" spans="1:34" ht="15.75" customHeight="1"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ht="15.75" customHeight="1"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55">
        <v>5.0000000000000001E-3</v>
      </c>
      <c r="Q125" s="255">
        <v>5.0000000000000001E-3</v>
      </c>
      <c r="R125" s="255">
        <v>5.0000000000000001E-3</v>
      </c>
      <c r="S125" s="255">
        <v>5.0000000000000001E-3</v>
      </c>
      <c r="T125" s="255">
        <v>5.0000000000000001E-3</v>
      </c>
      <c r="U125" s="26"/>
      <c r="V125" s="255">
        <v>5.0000000000000001E-3</v>
      </c>
      <c r="W125" s="255">
        <v>5.0000000000000001E-3</v>
      </c>
      <c r="X125" s="255">
        <v>5.0000000000000001E-3</v>
      </c>
      <c r="Y125" s="255">
        <v>5.0000000000000001E-3</v>
      </c>
      <c r="Z125" s="255">
        <v>5.0000000000000001E-3</v>
      </c>
      <c r="AA125" s="26"/>
      <c r="AB125" s="255">
        <v>5.0000000000000001E-3</v>
      </c>
      <c r="AC125" s="255">
        <v>5.0000000000000001E-3</v>
      </c>
      <c r="AD125" s="255">
        <v>5.0000000000000001E-3</v>
      </c>
      <c r="AE125" s="255">
        <v>5.0000000000000001E-3</v>
      </c>
      <c r="AF125" s="255">
        <v>5.0000000000000001E-3</v>
      </c>
      <c r="AG125" s="26"/>
      <c r="AH125" s="255">
        <v>5.0000000000000001E-3</v>
      </c>
    </row>
    <row r="126" spans="1:34" ht="15.75" customHeight="1" x14ac:dyDescent="0.2">
      <c r="A126" s="289"/>
      <c r="B126" s="284"/>
      <c r="C126" s="273"/>
      <c r="D126" s="251"/>
      <c r="E126" s="256"/>
      <c r="F126" s="256"/>
      <c r="G126" s="256"/>
      <c r="H126" s="256"/>
      <c r="I126" s="26"/>
      <c r="J126" s="256"/>
      <c r="K126" s="256"/>
      <c r="L126" s="256"/>
      <c r="M126" s="256"/>
      <c r="N126" s="256"/>
      <c r="O126" s="26"/>
      <c r="P126" s="256"/>
      <c r="Q126" s="256"/>
      <c r="R126" s="256"/>
      <c r="S126" s="256"/>
      <c r="T126" s="256"/>
      <c r="U126" s="26"/>
      <c r="V126" s="256"/>
      <c r="W126" s="256"/>
      <c r="X126" s="256"/>
      <c r="Y126" s="256"/>
      <c r="Z126" s="256"/>
      <c r="AA126" s="26"/>
      <c r="AB126" s="256"/>
      <c r="AC126" s="256"/>
      <c r="AD126" s="256"/>
      <c r="AE126" s="256"/>
      <c r="AF126" s="256"/>
      <c r="AG126" s="26"/>
      <c r="AH126" s="256"/>
    </row>
    <row r="127" spans="1:34" ht="15.75" customHeight="1" x14ac:dyDescent="0.2">
      <c r="A127" s="289"/>
      <c r="B127" s="284"/>
      <c r="C127" s="273"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289"/>
      <c r="B128" s="284"/>
      <c r="C128" s="273"/>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289"/>
      <c r="B130" s="284"/>
      <c r="C130" s="273"/>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ht="15.75" customHeight="1" x14ac:dyDescent="0.2">
      <c r="A132" s="289"/>
      <c r="B132" s="284"/>
      <c r="C132" s="273"/>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289"/>
      <c r="B133" s="284"/>
      <c r="C133" s="273"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289"/>
      <c r="B134" s="284"/>
      <c r="C134" s="273"/>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15.75" customHeight="1" x14ac:dyDescent="0.2">
      <c r="A136" s="289"/>
      <c r="B136" s="284"/>
      <c r="C136" s="273"/>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ht="15.75" customHeight="1" x14ac:dyDescent="0.2">
      <c r="A138" s="289"/>
      <c r="B138" s="284"/>
      <c r="C138" s="291"/>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ht="15.75" customHeight="1" x14ac:dyDescent="0.2">
      <c r="A139" s="289"/>
      <c r="B139" s="284"/>
      <c r="C139" s="291"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ht="15.75" customHeight="1" x14ac:dyDescent="0.2">
      <c r="A140" s="289"/>
      <c r="B140" s="284"/>
      <c r="C140" s="291"/>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ht="15.75" customHeight="1" x14ac:dyDescent="0.2">
      <c r="A142" s="289"/>
      <c r="B142" s="284"/>
      <c r="C142" s="291"/>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ht="21" customHeight="1" x14ac:dyDescent="0.2">
      <c r="A143" s="289"/>
      <c r="B143" s="284" t="s">
        <v>139</v>
      </c>
      <c r="C143" s="24"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25.2" customHeight="1" x14ac:dyDescent="0.2">
      <c r="A144" s="289"/>
      <c r="B144" s="284"/>
      <c r="C144" s="24" t="s">
        <v>7</v>
      </c>
      <c r="D144" s="24" t="s">
        <v>135</v>
      </c>
      <c r="E144" s="23">
        <v>0</v>
      </c>
      <c r="F144" s="23">
        <v>0</v>
      </c>
      <c r="G144" s="23">
        <v>0</v>
      </c>
      <c r="H144" s="23">
        <v>1</v>
      </c>
      <c r="I144" s="26"/>
      <c r="J144" s="41">
        <v>1</v>
      </c>
      <c r="K144" s="23">
        <v>0</v>
      </c>
      <c r="L144" s="23">
        <v>0</v>
      </c>
      <c r="M144" s="23">
        <v>0</v>
      </c>
      <c r="N144" s="23">
        <v>1</v>
      </c>
      <c r="O144" s="26"/>
      <c r="P144" s="41">
        <v>1</v>
      </c>
      <c r="Q144" s="23">
        <v>0</v>
      </c>
      <c r="R144" s="23">
        <v>0</v>
      </c>
      <c r="S144" s="23">
        <v>0</v>
      </c>
      <c r="T144" s="23">
        <v>1</v>
      </c>
      <c r="U144" s="26"/>
      <c r="V144" s="41">
        <v>1</v>
      </c>
      <c r="W144" s="23">
        <v>0</v>
      </c>
      <c r="X144" s="23">
        <v>0</v>
      </c>
      <c r="Y144" s="23">
        <v>0</v>
      </c>
      <c r="Z144" s="23">
        <v>1</v>
      </c>
      <c r="AA144" s="26"/>
      <c r="AB144" s="41">
        <v>1</v>
      </c>
      <c r="AC144" s="23">
        <v>0</v>
      </c>
      <c r="AD144" s="23">
        <v>0</v>
      </c>
      <c r="AE144" s="23">
        <v>0</v>
      </c>
      <c r="AF144" s="23">
        <v>1</v>
      </c>
      <c r="AG144" s="26"/>
      <c r="AH144" s="41">
        <v>1</v>
      </c>
    </row>
    <row r="145" spans="1:34" ht="13.2" customHeight="1" x14ac:dyDescent="0.2">
      <c r="A145" s="289"/>
      <c r="B145" s="284"/>
      <c r="C145" s="24"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ht="15.75" customHeight="1" x14ac:dyDescent="0.2">
      <c r="A147" s="289"/>
      <c r="B147" s="284"/>
      <c r="C147" s="273"/>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ht="15.75" customHeight="1"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ht="15.75" customHeight="1"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ht="15.75" customHeight="1" x14ac:dyDescent="0.2">
      <c r="A150" s="289"/>
      <c r="B150" s="284"/>
      <c r="C150" s="273"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x14ac:dyDescent="0.2">
      <c r="A151" s="289"/>
      <c r="B151" s="284"/>
      <c r="C151" s="273"/>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300" t="s">
        <v>27</v>
      </c>
      <c r="C152" s="446"/>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273"/>
      <c r="B153" s="288"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8"/>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8"/>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8"/>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8"/>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8"/>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8" t="s">
        <v>127</v>
      </c>
      <c r="C159" s="273" t="s">
        <v>26</v>
      </c>
      <c r="D159" s="272" t="s">
        <v>78</v>
      </c>
      <c r="E159" s="252">
        <v>0</v>
      </c>
      <c r="F159" s="252">
        <v>0</v>
      </c>
      <c r="G159" s="252">
        <v>0</v>
      </c>
      <c r="H159" s="252">
        <v>0</v>
      </c>
      <c r="I159" s="26"/>
      <c r="J159" s="252">
        <v>0</v>
      </c>
      <c r="K159" s="252">
        <v>0</v>
      </c>
      <c r="L159" s="252">
        <v>0</v>
      </c>
      <c r="M159" s="252">
        <v>0</v>
      </c>
      <c r="N159" s="252">
        <v>0</v>
      </c>
      <c r="O159" s="26"/>
      <c r="P159" s="252">
        <v>0</v>
      </c>
      <c r="Q159" s="252">
        <v>0</v>
      </c>
      <c r="R159" s="252">
        <v>0</v>
      </c>
      <c r="S159" s="252">
        <v>0</v>
      </c>
      <c r="T159" s="252">
        <v>0</v>
      </c>
      <c r="U159" s="26"/>
      <c r="V159" s="252">
        <v>0</v>
      </c>
      <c r="W159" s="252">
        <v>0</v>
      </c>
      <c r="X159" s="252">
        <v>0</v>
      </c>
      <c r="Y159" s="252">
        <v>0</v>
      </c>
      <c r="Z159" s="252">
        <v>0</v>
      </c>
      <c r="AA159" s="26"/>
      <c r="AB159" s="252">
        <v>0.01</v>
      </c>
      <c r="AC159" s="252">
        <v>0</v>
      </c>
      <c r="AD159" s="252">
        <v>0</v>
      </c>
      <c r="AE159" s="252">
        <v>0</v>
      </c>
      <c r="AF159" s="252">
        <v>0</v>
      </c>
      <c r="AG159" s="26"/>
      <c r="AH159" s="252">
        <v>0.01</v>
      </c>
    </row>
    <row r="160" spans="1:34" ht="15.75" customHeight="1" x14ac:dyDescent="0.2">
      <c r="A160" s="273"/>
      <c r="B160" s="288"/>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8"/>
      <c r="C161" s="273" t="s">
        <v>7</v>
      </c>
      <c r="D161" s="272" t="s">
        <v>78</v>
      </c>
      <c r="E161" s="252">
        <v>0</v>
      </c>
      <c r="F161" s="252">
        <v>0</v>
      </c>
      <c r="G161" s="252">
        <v>0</v>
      </c>
      <c r="H161" s="252">
        <v>0</v>
      </c>
      <c r="I161" s="26"/>
      <c r="J161" s="252">
        <v>0</v>
      </c>
      <c r="K161" s="252">
        <v>0</v>
      </c>
      <c r="L161" s="252">
        <v>0</v>
      </c>
      <c r="M161" s="252">
        <v>0</v>
      </c>
      <c r="N161" s="252">
        <v>0</v>
      </c>
      <c r="O161" s="26"/>
      <c r="P161" s="252">
        <v>0</v>
      </c>
      <c r="Q161" s="252">
        <v>0</v>
      </c>
      <c r="R161" s="252">
        <v>0</v>
      </c>
      <c r="S161" s="252">
        <v>0</v>
      </c>
      <c r="T161" s="252">
        <v>0</v>
      </c>
      <c r="U161" s="26"/>
      <c r="V161" s="252">
        <v>0</v>
      </c>
      <c r="W161" s="252">
        <v>0</v>
      </c>
      <c r="X161" s="252">
        <v>0</v>
      </c>
      <c r="Y161" s="252">
        <v>0</v>
      </c>
      <c r="Z161" s="252">
        <v>0</v>
      </c>
      <c r="AA161" s="26"/>
      <c r="AB161" s="252">
        <v>0.01</v>
      </c>
      <c r="AC161" s="252">
        <v>0</v>
      </c>
      <c r="AD161" s="252">
        <v>0</v>
      </c>
      <c r="AE161" s="252">
        <v>0</v>
      </c>
      <c r="AF161" s="252">
        <v>0</v>
      </c>
      <c r="AG161" s="26"/>
      <c r="AH161" s="252">
        <v>0.01</v>
      </c>
    </row>
    <row r="162" spans="1:34" ht="15.75" customHeight="1" x14ac:dyDescent="0.2">
      <c r="A162" s="273"/>
      <c r="B162" s="288"/>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8"/>
      <c r="C163" s="273" t="s">
        <v>8</v>
      </c>
      <c r="D163" s="272" t="s">
        <v>78</v>
      </c>
      <c r="E163" s="252">
        <v>0</v>
      </c>
      <c r="F163" s="252">
        <v>0</v>
      </c>
      <c r="G163" s="252">
        <v>0</v>
      </c>
      <c r="H163" s="252">
        <v>0</v>
      </c>
      <c r="I163" s="26"/>
      <c r="J163" s="252">
        <v>0</v>
      </c>
      <c r="K163" s="252">
        <v>0</v>
      </c>
      <c r="L163" s="252">
        <v>0</v>
      </c>
      <c r="M163" s="252">
        <v>0</v>
      </c>
      <c r="N163" s="252">
        <v>0</v>
      </c>
      <c r="O163" s="26"/>
      <c r="P163" s="252">
        <v>0</v>
      </c>
      <c r="Q163" s="252">
        <v>0</v>
      </c>
      <c r="R163" s="252">
        <v>0</v>
      </c>
      <c r="S163" s="252">
        <v>0</v>
      </c>
      <c r="T163" s="252">
        <v>0</v>
      </c>
      <c r="U163" s="26"/>
      <c r="V163" s="252">
        <v>0</v>
      </c>
      <c r="W163" s="252">
        <v>0</v>
      </c>
      <c r="X163" s="252">
        <v>0</v>
      </c>
      <c r="Y163" s="252">
        <v>0</v>
      </c>
      <c r="Z163" s="252">
        <v>0</v>
      </c>
      <c r="AA163" s="26"/>
      <c r="AB163" s="252">
        <v>0.01</v>
      </c>
      <c r="AC163" s="252">
        <v>0</v>
      </c>
      <c r="AD163" s="252">
        <v>0</v>
      </c>
      <c r="AE163" s="252">
        <v>0</v>
      </c>
      <c r="AF163" s="252">
        <v>0</v>
      </c>
      <c r="AG163" s="26"/>
      <c r="AH163" s="252">
        <v>0.01</v>
      </c>
    </row>
    <row r="164" spans="1:34" ht="15.75" customHeight="1" x14ac:dyDescent="0.2">
      <c r="A164" s="273"/>
      <c r="B164" s="288"/>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75" customHeight="1" x14ac:dyDescent="0.2">
      <c r="A171" s="449"/>
      <c r="B171" s="284"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284"/>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284"/>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284"/>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284"/>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284"/>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5.75" customHeight="1" x14ac:dyDescent="0.2">
      <c r="A177" s="449"/>
      <c r="B177" s="284"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284"/>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284"/>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284"/>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284"/>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42.6" customHeight="1" x14ac:dyDescent="0.2">
      <c r="A182" s="449"/>
      <c r="B182" s="284"/>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5.75" customHeight="1" x14ac:dyDescent="0.2">
      <c r="A183" s="449"/>
      <c r="B183" s="284"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449"/>
      <c r="B184" s="284"/>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284"/>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284"/>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284"/>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284"/>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7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4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64" t="s">
        <v>30</v>
      </c>
      <c r="C195" s="264"/>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34.799999999999997" customHeight="1" x14ac:dyDescent="0.2">
      <c r="A196" s="289"/>
      <c r="B196" s="288" t="s">
        <v>142</v>
      </c>
      <c r="C196" s="288"/>
      <c r="D196" s="273" t="s">
        <v>78</v>
      </c>
      <c r="E196" s="254">
        <v>9.0899999999999995E-2</v>
      </c>
      <c r="F196" s="254">
        <v>9.0899999999999995E-2</v>
      </c>
      <c r="G196" s="254">
        <v>9.0899999999999995E-2</v>
      </c>
      <c r="H196" s="254">
        <v>9.0899999999999995E-2</v>
      </c>
      <c r="I196" s="45"/>
      <c r="J196" s="254">
        <v>9.0899999999999995E-2</v>
      </c>
      <c r="K196" s="254">
        <v>9.0899999999999995E-2</v>
      </c>
      <c r="L196" s="254">
        <v>9.0899999999999995E-2</v>
      </c>
      <c r="M196" s="254">
        <v>9.0899999999999995E-2</v>
      </c>
      <c r="N196" s="254">
        <v>9.0899999999999995E-2</v>
      </c>
      <c r="O196" s="45"/>
      <c r="P196" s="254">
        <v>9.0899999999999995E-2</v>
      </c>
      <c r="Q196" s="254">
        <v>9.0899999999999995E-2</v>
      </c>
      <c r="R196" s="254">
        <v>9.0899999999999995E-2</v>
      </c>
      <c r="S196" s="254">
        <v>9.0899999999999995E-2</v>
      </c>
      <c r="T196" s="254">
        <v>9.0899999999999995E-2</v>
      </c>
      <c r="U196" s="45"/>
      <c r="V196" s="254">
        <v>9.0899999999999995E-2</v>
      </c>
      <c r="W196" s="254">
        <v>9.0899999999999995E-2</v>
      </c>
      <c r="X196" s="254">
        <v>9.0899999999999995E-2</v>
      </c>
      <c r="Y196" s="254">
        <v>9.0899999999999995E-2</v>
      </c>
      <c r="Z196" s="254">
        <v>9.0899999999999995E-2</v>
      </c>
      <c r="AA196" s="45"/>
      <c r="AB196" s="254">
        <v>9.0899999999999995E-2</v>
      </c>
      <c r="AC196" s="254">
        <v>9.0899999999999995E-2</v>
      </c>
      <c r="AD196" s="254">
        <v>9.0899999999999995E-2</v>
      </c>
      <c r="AE196" s="254">
        <v>9.0899999999999995E-2</v>
      </c>
      <c r="AF196" s="254">
        <v>9.0899999999999995E-2</v>
      </c>
      <c r="AG196" s="29"/>
      <c r="AH196" s="254">
        <v>9.0899999999999995E-2</v>
      </c>
    </row>
    <row r="197" spans="1:34" ht="21.6"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32.4"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32.4"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0.18</v>
      </c>
      <c r="F200" s="250">
        <v>0.18</v>
      </c>
      <c r="G200" s="250">
        <v>0.18</v>
      </c>
      <c r="H200" s="250">
        <v>0.18</v>
      </c>
      <c r="I200" s="26"/>
      <c r="J200" s="250">
        <v>0.18</v>
      </c>
      <c r="K200" s="250">
        <v>0.18</v>
      </c>
      <c r="L200" s="250">
        <v>0.18</v>
      </c>
      <c r="M200" s="250">
        <v>0.18</v>
      </c>
      <c r="N200" s="250">
        <v>0.18</v>
      </c>
      <c r="O200" s="26"/>
      <c r="P200" s="250">
        <v>0.18</v>
      </c>
      <c r="Q200" s="250">
        <v>0.18</v>
      </c>
      <c r="R200" s="250">
        <v>0.18</v>
      </c>
      <c r="S200" s="250">
        <v>0.18</v>
      </c>
      <c r="T200" s="250">
        <v>0.18</v>
      </c>
      <c r="U200" s="26"/>
      <c r="V200" s="250">
        <v>0.18</v>
      </c>
      <c r="W200" s="250">
        <v>0.18</v>
      </c>
      <c r="X200" s="250">
        <v>0.18</v>
      </c>
      <c r="Y200" s="250">
        <v>0.18</v>
      </c>
      <c r="Z200" s="250">
        <v>0.18</v>
      </c>
      <c r="AA200" s="26"/>
      <c r="AB200" s="250">
        <v>0.18</v>
      </c>
      <c r="AC200" s="250">
        <v>0.18</v>
      </c>
      <c r="AD200" s="250">
        <v>0.18</v>
      </c>
      <c r="AE200" s="250">
        <v>0.18</v>
      </c>
      <c r="AF200" s="250">
        <v>0.18</v>
      </c>
      <c r="AG200" s="26"/>
      <c r="AH200" s="250">
        <v>0.18</v>
      </c>
    </row>
    <row r="201" spans="1:34" ht="45.6"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14.096/22.6</f>
        <v>0.62371681415929203</v>
      </c>
      <c r="F208" s="249">
        <f>14.096/22.6</f>
        <v>0.62371681415929203</v>
      </c>
      <c r="G208" s="249">
        <f>14.096/22.6</f>
        <v>0.62371681415929203</v>
      </c>
      <c r="H208" s="249">
        <f>14.096/22.6</f>
        <v>0.62371681415929203</v>
      </c>
      <c r="I208" s="19"/>
      <c r="J208" s="249">
        <f>14.096/22.6</f>
        <v>0.62371681415929203</v>
      </c>
      <c r="K208" s="249">
        <f>14.096/22.6</f>
        <v>0.62371681415929203</v>
      </c>
      <c r="L208" s="249">
        <f>14.096/22.6</f>
        <v>0.62371681415929203</v>
      </c>
      <c r="M208" s="249">
        <f>14.096/22.6</f>
        <v>0.62371681415929203</v>
      </c>
      <c r="N208" s="249">
        <f>14.096/22.6</f>
        <v>0.62371681415929203</v>
      </c>
      <c r="O208" s="19"/>
      <c r="P208" s="249">
        <f>14.096/22.6</f>
        <v>0.62371681415929203</v>
      </c>
      <c r="Q208" s="249">
        <f>14.096/22.6</f>
        <v>0.62371681415929203</v>
      </c>
      <c r="R208" s="249">
        <f>14.096/22.6</f>
        <v>0.62371681415929203</v>
      </c>
      <c r="S208" s="249">
        <f>14.096/22.6</f>
        <v>0.62371681415929203</v>
      </c>
      <c r="T208" s="249">
        <f>14.096/22.6</f>
        <v>0.62371681415929203</v>
      </c>
      <c r="U208" s="19"/>
      <c r="V208" s="249">
        <f>14.096/22.6</f>
        <v>0.62371681415929203</v>
      </c>
      <c r="W208" s="249">
        <f>14.096/22.6</f>
        <v>0.62371681415929203</v>
      </c>
      <c r="X208" s="249">
        <f>14.096/22.6</f>
        <v>0.62371681415929203</v>
      </c>
      <c r="Y208" s="249">
        <f>14.096/22.6</f>
        <v>0.62371681415929203</v>
      </c>
      <c r="Z208" s="249">
        <f>14.096/22.6</f>
        <v>0.62371681415929203</v>
      </c>
      <c r="AA208" s="19"/>
      <c r="AB208" s="249">
        <f>14.096/22.6</f>
        <v>0.62371681415929203</v>
      </c>
      <c r="AC208" s="249">
        <f>14.096/22.6</f>
        <v>0.62371681415929203</v>
      </c>
      <c r="AD208" s="249">
        <f>14.096/22.6</f>
        <v>0.62371681415929203</v>
      </c>
      <c r="AE208" s="249">
        <f>14.096/22.6</f>
        <v>0.62371681415929203</v>
      </c>
      <c r="AF208" s="249">
        <f>14.096/22.6</f>
        <v>0.62371681415929203</v>
      </c>
      <c r="AG208" s="19"/>
      <c r="AH208" s="249">
        <f>14.096/22.6</f>
        <v>0.62371681415929203</v>
      </c>
    </row>
    <row r="209" spans="1:34" ht="27.6"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v>1</v>
      </c>
      <c r="F210" s="249">
        <v>1</v>
      </c>
      <c r="G210" s="249">
        <v>1</v>
      </c>
      <c r="H210" s="249">
        <v>1</v>
      </c>
      <c r="I210" s="19"/>
      <c r="J210" s="249">
        <v>1</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34.799999999999997"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51.6" customHeight="1" x14ac:dyDescent="0.2">
      <c r="A212" s="17">
        <v>2.2000000000000002</v>
      </c>
      <c r="B212" s="264" t="s">
        <v>33</v>
      </c>
      <c r="C212" s="264"/>
      <c r="D212" s="267"/>
      <c r="E212" s="267"/>
      <c r="F212" s="267"/>
      <c r="G212" s="267"/>
      <c r="H212" s="267"/>
      <c r="I212" s="267"/>
      <c r="J212" s="267"/>
      <c r="K212" s="267"/>
      <c r="L212" s="267"/>
      <c r="M212" s="267"/>
      <c r="N212" s="267"/>
      <c r="O212" s="267"/>
      <c r="P212" s="267"/>
      <c r="Q212" s="267"/>
      <c r="R212" s="267"/>
      <c r="S212" s="267"/>
      <c r="T212" s="267"/>
      <c r="U212" s="267"/>
      <c r="V212" s="267"/>
      <c r="W212" s="267"/>
      <c r="X212" s="267"/>
      <c r="Y212" s="267"/>
      <c r="Z212" s="267"/>
      <c r="AA212" s="267"/>
      <c r="AB212" s="267"/>
      <c r="AC212" s="267"/>
      <c r="AD212" s="267"/>
      <c r="AE212" s="267"/>
      <c r="AF212" s="267"/>
      <c r="AG212" s="267"/>
      <c r="AH212" s="267"/>
    </row>
    <row r="213" spans="1:34" ht="15.75" customHeight="1"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v>0</v>
      </c>
      <c r="X213" s="249">
        <v>0</v>
      </c>
      <c r="Y213" s="249">
        <v>0</v>
      </c>
      <c r="Z213" s="249">
        <v>0</v>
      </c>
      <c r="AA213" s="19"/>
      <c r="AB213" s="249">
        <v>0</v>
      </c>
      <c r="AC213" s="249">
        <v>0</v>
      </c>
      <c r="AD213" s="249">
        <v>0</v>
      </c>
      <c r="AE213" s="249">
        <v>0</v>
      </c>
      <c r="AF213" s="249">
        <v>0</v>
      </c>
      <c r="AG213" s="19"/>
      <c r="AH213" s="249">
        <v>0</v>
      </c>
    </row>
    <row r="214" spans="1:34" ht="36" customHeight="1"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37.799999999999997" customHeight="1"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0</v>
      </c>
      <c r="AD215" s="249">
        <v>0</v>
      </c>
      <c r="AE215" s="249">
        <v>0</v>
      </c>
      <c r="AF215" s="249">
        <v>0</v>
      </c>
      <c r="AG215" s="19"/>
      <c r="AH215" s="249">
        <v>0</v>
      </c>
    </row>
    <row r="216" spans="1:34" ht="40.799999999999997"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34.200000000000003" customHeight="1" x14ac:dyDescent="0.2">
      <c r="A217" s="289"/>
      <c r="B217" s="284" t="s">
        <v>153</v>
      </c>
      <c r="C217" s="284"/>
      <c r="D217" s="25" t="s">
        <v>100</v>
      </c>
      <c r="E217" s="250">
        <v>0</v>
      </c>
      <c r="F217" s="250">
        <v>0</v>
      </c>
      <c r="G217" s="250">
        <v>0</v>
      </c>
      <c r="H217" s="250">
        <v>0</v>
      </c>
      <c r="I217" s="26"/>
      <c r="J217" s="250">
        <v>0</v>
      </c>
      <c r="K217" s="250">
        <v>1</v>
      </c>
      <c r="L217" s="250">
        <v>2</v>
      </c>
      <c r="M217" s="250">
        <v>3</v>
      </c>
      <c r="N217" s="250">
        <v>4</v>
      </c>
      <c r="O217" s="26"/>
      <c r="P217" s="250">
        <v>0</v>
      </c>
      <c r="Q217" s="250">
        <v>1</v>
      </c>
      <c r="R217" s="250">
        <v>2</v>
      </c>
      <c r="S217" s="250">
        <v>3</v>
      </c>
      <c r="T217" s="250">
        <v>4</v>
      </c>
      <c r="U217" s="26"/>
      <c r="V217" s="250">
        <v>0</v>
      </c>
      <c r="W217" s="250">
        <v>1</v>
      </c>
      <c r="X217" s="250">
        <v>2</v>
      </c>
      <c r="Y217" s="250">
        <v>3</v>
      </c>
      <c r="Z217" s="250">
        <v>4</v>
      </c>
      <c r="AA217" s="26"/>
      <c r="AB217" s="250">
        <v>0</v>
      </c>
      <c r="AC217" s="250">
        <v>1</v>
      </c>
      <c r="AD217" s="250">
        <v>2</v>
      </c>
      <c r="AE217" s="250">
        <v>3</v>
      </c>
      <c r="AF217" s="250">
        <v>4</v>
      </c>
      <c r="AG217" s="26"/>
      <c r="AH217" s="250">
        <v>0</v>
      </c>
    </row>
    <row r="218" spans="1:34" ht="32.4"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79" t="s">
        <v>105</v>
      </c>
      <c r="C225" s="505"/>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2"/>
    </row>
    <row r="226" spans="1:34" ht="15.75" customHeight="1" x14ac:dyDescent="0.2">
      <c r="A226" s="289"/>
      <c r="B226" s="284" t="s">
        <v>45</v>
      </c>
      <c r="C226" s="284"/>
      <c r="D226" s="25" t="s">
        <v>101</v>
      </c>
      <c r="E226" s="23">
        <v>625</v>
      </c>
      <c r="F226" s="23">
        <v>625</v>
      </c>
      <c r="G226" s="23">
        <v>626</v>
      </c>
      <c r="H226" s="23">
        <v>626</v>
      </c>
      <c r="I226" s="41"/>
      <c r="J226" s="41">
        <v>626</v>
      </c>
      <c r="K226" s="23">
        <v>627</v>
      </c>
      <c r="L226" s="23">
        <v>627</v>
      </c>
      <c r="M226" s="23">
        <v>628</v>
      </c>
      <c r="N226" s="23">
        <v>628</v>
      </c>
      <c r="O226" s="41"/>
      <c r="P226" s="41">
        <v>628</v>
      </c>
      <c r="Q226" s="23">
        <v>629</v>
      </c>
      <c r="R226" s="23">
        <v>629</v>
      </c>
      <c r="S226" s="23">
        <v>630</v>
      </c>
      <c r="T226" s="23">
        <v>630</v>
      </c>
      <c r="U226" s="23"/>
      <c r="V226" s="41">
        <v>630</v>
      </c>
      <c r="W226" s="23">
        <v>631</v>
      </c>
      <c r="X226" s="23">
        <v>631</v>
      </c>
      <c r="Y226" s="23">
        <v>632</v>
      </c>
      <c r="Z226" s="23">
        <v>632</v>
      </c>
      <c r="AA226" s="41"/>
      <c r="AB226" s="93">
        <v>632</v>
      </c>
      <c r="AC226" s="23">
        <v>633</v>
      </c>
      <c r="AD226" s="23">
        <v>633</v>
      </c>
      <c r="AE226" s="23">
        <v>634</v>
      </c>
      <c r="AF226" s="23">
        <v>634</v>
      </c>
      <c r="AG226" s="41"/>
      <c r="AH226" s="93">
        <v>634</v>
      </c>
    </row>
    <row r="227" spans="1:34" ht="28.8" customHeight="1" x14ac:dyDescent="0.2">
      <c r="A227" s="289"/>
      <c r="B227" s="284"/>
      <c r="C227" s="284"/>
      <c r="D227" s="25" t="s">
        <v>32</v>
      </c>
      <c r="E227" s="26">
        <f t="shared" ref="E227:H228" si="0">14.096</f>
        <v>14.096</v>
      </c>
      <c r="F227" s="26">
        <f t="shared" si="0"/>
        <v>14.096</v>
      </c>
      <c r="G227" s="26">
        <f t="shared" si="0"/>
        <v>14.096</v>
      </c>
      <c r="H227" s="26">
        <f t="shared" si="0"/>
        <v>14.096</v>
      </c>
      <c r="I227" s="26"/>
      <c r="J227" s="26">
        <f>14.096</f>
        <v>14.096</v>
      </c>
      <c r="K227" s="26">
        <f t="shared" ref="K227:N228" si="1">14.096</f>
        <v>14.096</v>
      </c>
      <c r="L227" s="26">
        <f t="shared" si="1"/>
        <v>14.096</v>
      </c>
      <c r="M227" s="26">
        <f t="shared" si="1"/>
        <v>14.096</v>
      </c>
      <c r="N227" s="26">
        <f t="shared" si="1"/>
        <v>14.096</v>
      </c>
      <c r="O227" s="26"/>
      <c r="P227" s="26">
        <f>14.096</f>
        <v>14.096</v>
      </c>
      <c r="Q227" s="26">
        <f>14.096</f>
        <v>14.096</v>
      </c>
      <c r="R227" s="26">
        <f t="shared" ref="R227:T228" si="2">14.096</f>
        <v>14.096</v>
      </c>
      <c r="S227" s="26">
        <f t="shared" si="2"/>
        <v>14.096</v>
      </c>
      <c r="T227" s="26">
        <f t="shared" si="2"/>
        <v>14.096</v>
      </c>
      <c r="U227" s="44"/>
      <c r="V227" s="26">
        <f>14.096</f>
        <v>14.096</v>
      </c>
      <c r="W227" s="26">
        <f>14.096</f>
        <v>14.096</v>
      </c>
      <c r="X227" s="26">
        <f t="shared" ref="X227:Z228" si="3">14.096</f>
        <v>14.096</v>
      </c>
      <c r="Y227" s="26">
        <f t="shared" si="3"/>
        <v>14.096</v>
      </c>
      <c r="Z227" s="26">
        <f t="shared" si="3"/>
        <v>14.096</v>
      </c>
      <c r="AA227" s="26"/>
      <c r="AB227" s="26">
        <f>14.096</f>
        <v>14.096</v>
      </c>
      <c r="AC227" s="26">
        <f t="shared" ref="AC227:AF228" si="4">14.096</f>
        <v>14.096</v>
      </c>
      <c r="AD227" s="26">
        <f t="shared" si="4"/>
        <v>14.096</v>
      </c>
      <c r="AE227" s="26">
        <f t="shared" si="4"/>
        <v>14.096</v>
      </c>
      <c r="AF227" s="26">
        <f t="shared" si="4"/>
        <v>14.096</v>
      </c>
      <c r="AG227" s="26"/>
      <c r="AH227" s="58">
        <f>AB227</f>
        <v>14.096</v>
      </c>
    </row>
    <row r="228" spans="1:34" ht="15.75" customHeight="1" x14ac:dyDescent="0.2">
      <c r="A228" s="289"/>
      <c r="B228" s="284" t="s">
        <v>46</v>
      </c>
      <c r="C228" s="284"/>
      <c r="D228" s="25" t="s">
        <v>32</v>
      </c>
      <c r="E228" s="26">
        <f t="shared" si="0"/>
        <v>14.096</v>
      </c>
      <c r="F228" s="26">
        <f t="shared" si="0"/>
        <v>14.096</v>
      </c>
      <c r="G228" s="26">
        <f t="shared" si="0"/>
        <v>14.096</v>
      </c>
      <c r="H228" s="26">
        <f t="shared" si="0"/>
        <v>14.096</v>
      </c>
      <c r="I228" s="26"/>
      <c r="J228" s="26">
        <f>14.096</f>
        <v>14.096</v>
      </c>
      <c r="K228" s="26">
        <f t="shared" si="1"/>
        <v>14.096</v>
      </c>
      <c r="L228" s="26">
        <f t="shared" si="1"/>
        <v>14.096</v>
      </c>
      <c r="M228" s="26">
        <f t="shared" si="1"/>
        <v>14.096</v>
      </c>
      <c r="N228" s="26">
        <f t="shared" si="1"/>
        <v>14.096</v>
      </c>
      <c r="O228" s="26"/>
      <c r="P228" s="26">
        <f>14.096</f>
        <v>14.096</v>
      </c>
      <c r="Q228" s="26">
        <f>14.096</f>
        <v>14.096</v>
      </c>
      <c r="R228" s="26">
        <f t="shared" si="2"/>
        <v>14.096</v>
      </c>
      <c r="S228" s="26">
        <f t="shared" si="2"/>
        <v>14.096</v>
      </c>
      <c r="T228" s="26">
        <f t="shared" si="2"/>
        <v>14.096</v>
      </c>
      <c r="U228" s="44"/>
      <c r="V228" s="26">
        <f>14.096</f>
        <v>14.096</v>
      </c>
      <c r="W228" s="26">
        <f>14.096</f>
        <v>14.096</v>
      </c>
      <c r="X228" s="26">
        <f t="shared" si="3"/>
        <v>14.096</v>
      </c>
      <c r="Y228" s="26">
        <f t="shared" si="3"/>
        <v>14.096</v>
      </c>
      <c r="Z228" s="26">
        <f t="shared" si="3"/>
        <v>14.096</v>
      </c>
      <c r="AA228" s="26"/>
      <c r="AB228" s="26">
        <f>14.096</f>
        <v>14.096</v>
      </c>
      <c r="AC228" s="26">
        <f t="shared" si="4"/>
        <v>14.096</v>
      </c>
      <c r="AD228" s="26">
        <f t="shared" si="4"/>
        <v>14.096</v>
      </c>
      <c r="AE228" s="26">
        <f t="shared" si="4"/>
        <v>14.096</v>
      </c>
      <c r="AF228" s="26">
        <f t="shared" si="4"/>
        <v>14.096</v>
      </c>
      <c r="AG228" s="26"/>
      <c r="AH228" s="58">
        <f>AB228</f>
        <v>14.096</v>
      </c>
    </row>
    <row r="229" spans="1:34" x14ac:dyDescent="0.2">
      <c r="A229" s="289"/>
      <c r="B229" s="284"/>
      <c r="C229" s="284"/>
      <c r="D229" s="25" t="s">
        <v>143</v>
      </c>
      <c r="E229" s="51">
        <v>1595.8454999999999</v>
      </c>
      <c r="F229" s="51">
        <v>1596.4390000000001</v>
      </c>
      <c r="G229" s="51">
        <v>1597.0325</v>
      </c>
      <c r="H229" s="51">
        <v>1597.626</v>
      </c>
      <c r="I229" s="41"/>
      <c r="J229" s="41">
        <v>1597.626</v>
      </c>
      <c r="K229" s="51">
        <v>1598</v>
      </c>
      <c r="L229" s="51">
        <v>1599</v>
      </c>
      <c r="M229" s="51">
        <v>1599</v>
      </c>
      <c r="N229" s="51">
        <v>1600</v>
      </c>
      <c r="O229" s="41"/>
      <c r="P229" s="41">
        <v>1600</v>
      </c>
      <c r="Q229" s="51">
        <v>1601</v>
      </c>
      <c r="R229" s="51">
        <v>1601</v>
      </c>
      <c r="S229" s="51">
        <v>1602</v>
      </c>
      <c r="T229" s="51">
        <v>1602</v>
      </c>
      <c r="U229" s="51"/>
      <c r="V229" s="41">
        <v>1602</v>
      </c>
      <c r="W229" s="51">
        <v>1603</v>
      </c>
      <c r="X229" s="51">
        <v>1604</v>
      </c>
      <c r="Y229" s="51">
        <v>1604</v>
      </c>
      <c r="Z229" s="51">
        <v>1605</v>
      </c>
      <c r="AA229" s="41"/>
      <c r="AB229" s="41">
        <v>1605</v>
      </c>
      <c r="AC229" s="51">
        <v>1606</v>
      </c>
      <c r="AD229" s="51">
        <v>1606</v>
      </c>
      <c r="AE229" s="51">
        <v>1607</v>
      </c>
      <c r="AF229" s="51">
        <v>1607</v>
      </c>
      <c r="AG229" s="41"/>
      <c r="AH229" s="41">
        <v>1607</v>
      </c>
    </row>
    <row r="230" spans="1:34" ht="15.75" customHeight="1" x14ac:dyDescent="0.2">
      <c r="A230" s="289"/>
      <c r="B230" s="284" t="s">
        <v>47</v>
      </c>
      <c r="C230" s="284"/>
      <c r="D230" s="25" t="s">
        <v>32</v>
      </c>
      <c r="E230" s="45">
        <v>22.29</v>
      </c>
      <c r="F230" s="45">
        <v>22.29</v>
      </c>
      <c r="G230" s="45">
        <v>22.29</v>
      </c>
      <c r="H230" s="45">
        <v>22.29</v>
      </c>
      <c r="I230" s="41"/>
      <c r="J230" s="26">
        <v>22.288</v>
      </c>
      <c r="K230" s="26">
        <v>22.288</v>
      </c>
      <c r="L230" s="26">
        <v>22.288</v>
      </c>
      <c r="M230" s="26">
        <v>22.288</v>
      </c>
      <c r="N230" s="26">
        <v>22.288</v>
      </c>
      <c r="O230" s="26"/>
      <c r="P230" s="26">
        <v>22.288</v>
      </c>
      <c r="Q230" s="26">
        <v>22.288</v>
      </c>
      <c r="R230" s="26">
        <v>22.288</v>
      </c>
      <c r="S230" s="26">
        <v>22.288</v>
      </c>
      <c r="T230" s="26">
        <v>22.288</v>
      </c>
      <c r="U230" s="44"/>
      <c r="V230" s="26">
        <v>22.288</v>
      </c>
      <c r="W230" s="26">
        <v>22.288</v>
      </c>
      <c r="X230" s="26">
        <v>22.288</v>
      </c>
      <c r="Y230" s="26">
        <v>22.288</v>
      </c>
      <c r="Z230" s="26">
        <v>22.288</v>
      </c>
      <c r="AA230" s="26"/>
      <c r="AB230" s="26">
        <v>22.288</v>
      </c>
      <c r="AC230" s="26">
        <v>22.288</v>
      </c>
      <c r="AD230" s="26">
        <v>22.288</v>
      </c>
      <c r="AE230" s="26">
        <v>22.288</v>
      </c>
      <c r="AF230" s="26">
        <v>22.288</v>
      </c>
      <c r="AG230" s="26"/>
      <c r="AH230" s="26">
        <v>22.288</v>
      </c>
    </row>
    <row r="231" spans="1:34" x14ac:dyDescent="0.2">
      <c r="A231" s="289"/>
      <c r="B231" s="284"/>
      <c r="C231" s="284"/>
      <c r="D231" s="25" t="s">
        <v>143</v>
      </c>
      <c r="E231" s="51">
        <v>1595.8454999999999</v>
      </c>
      <c r="F231" s="51">
        <v>1596.4390000000001</v>
      </c>
      <c r="G231" s="51">
        <v>1597.0325</v>
      </c>
      <c r="H231" s="51">
        <v>1597.626</v>
      </c>
      <c r="I231" s="41"/>
      <c r="J231" s="41">
        <v>1597.626</v>
      </c>
      <c r="K231" s="51">
        <v>1598</v>
      </c>
      <c r="L231" s="51">
        <v>1599</v>
      </c>
      <c r="M231" s="51">
        <v>1599</v>
      </c>
      <c r="N231" s="51">
        <v>1600</v>
      </c>
      <c r="O231" s="41"/>
      <c r="P231" s="41">
        <v>1600</v>
      </c>
      <c r="Q231" s="51">
        <v>1601</v>
      </c>
      <c r="R231" s="51">
        <v>1601</v>
      </c>
      <c r="S231" s="51">
        <v>1602</v>
      </c>
      <c r="T231" s="51">
        <v>1602</v>
      </c>
      <c r="U231" s="51"/>
      <c r="V231" s="41">
        <v>1602</v>
      </c>
      <c r="W231" s="51">
        <v>1603</v>
      </c>
      <c r="X231" s="51">
        <v>1604</v>
      </c>
      <c r="Y231" s="51">
        <v>1604</v>
      </c>
      <c r="Z231" s="51">
        <v>1605</v>
      </c>
      <c r="AA231" s="41"/>
      <c r="AB231" s="41">
        <v>1605</v>
      </c>
      <c r="AC231" s="51">
        <v>1606</v>
      </c>
      <c r="AD231" s="51">
        <v>1606</v>
      </c>
      <c r="AE231" s="51">
        <v>1607</v>
      </c>
      <c r="AF231" s="51">
        <v>1607</v>
      </c>
      <c r="AG231" s="41"/>
      <c r="AH231" s="41">
        <v>1607</v>
      </c>
    </row>
    <row r="232" spans="1:34" x14ac:dyDescent="0.2">
      <c r="A232" s="289"/>
      <c r="B232" s="284" t="s">
        <v>36</v>
      </c>
      <c r="C232" s="284"/>
      <c r="D232" s="25" t="s">
        <v>144</v>
      </c>
      <c r="E232" s="41">
        <v>0</v>
      </c>
      <c r="F232" s="41">
        <v>0</v>
      </c>
      <c r="G232" s="41">
        <v>0</v>
      </c>
      <c r="H232" s="41">
        <v>0</v>
      </c>
      <c r="I232" s="41"/>
      <c r="J232" s="41">
        <v>0</v>
      </c>
      <c r="K232" s="41">
        <v>0</v>
      </c>
      <c r="L232" s="41">
        <v>0</v>
      </c>
      <c r="M232" s="41">
        <v>0</v>
      </c>
      <c r="N232" s="41">
        <v>0</v>
      </c>
      <c r="O232" s="41"/>
      <c r="P232" s="41">
        <v>0</v>
      </c>
      <c r="Q232" s="41">
        <v>0</v>
      </c>
      <c r="R232" s="41">
        <v>0</v>
      </c>
      <c r="S232" s="41">
        <v>0</v>
      </c>
      <c r="T232" s="41">
        <v>0</v>
      </c>
      <c r="U232" s="41"/>
      <c r="V232" s="41">
        <v>0</v>
      </c>
      <c r="W232" s="41">
        <v>0</v>
      </c>
      <c r="X232" s="41">
        <v>0</v>
      </c>
      <c r="Y232" s="41">
        <v>0</v>
      </c>
      <c r="Z232" s="41">
        <v>0</v>
      </c>
      <c r="AA232" s="41"/>
      <c r="AB232" s="41">
        <v>0</v>
      </c>
      <c r="AC232" s="41">
        <v>0</v>
      </c>
      <c r="AD232" s="41">
        <v>0</v>
      </c>
      <c r="AE232" s="41">
        <v>0</v>
      </c>
      <c r="AF232" s="41">
        <v>0</v>
      </c>
      <c r="AG232" s="41"/>
      <c r="AH232" s="41">
        <v>0</v>
      </c>
    </row>
    <row r="233" spans="1:34" x14ac:dyDescent="0.2">
      <c r="A233" s="289"/>
      <c r="B233" s="284"/>
      <c r="C233" s="284"/>
      <c r="D233" s="25" t="s">
        <v>32</v>
      </c>
      <c r="E233" s="41">
        <v>0</v>
      </c>
      <c r="F233" s="41">
        <v>0</v>
      </c>
      <c r="G233" s="41">
        <v>0</v>
      </c>
      <c r="H233" s="41">
        <v>0</v>
      </c>
      <c r="I233" s="41"/>
      <c r="J233" s="41">
        <v>0</v>
      </c>
      <c r="K233" s="41">
        <v>0</v>
      </c>
      <c r="L233" s="41">
        <v>0</v>
      </c>
      <c r="M233" s="41">
        <v>0</v>
      </c>
      <c r="N233" s="41">
        <v>0</v>
      </c>
      <c r="O233" s="41"/>
      <c r="P233" s="41">
        <v>0</v>
      </c>
      <c r="Q233" s="41">
        <v>0</v>
      </c>
      <c r="R233" s="41">
        <v>0</v>
      </c>
      <c r="S233" s="41">
        <v>0</v>
      </c>
      <c r="T233" s="41">
        <v>0</v>
      </c>
      <c r="U233" s="41"/>
      <c r="V233" s="41">
        <v>0</v>
      </c>
      <c r="W233" s="41">
        <v>0</v>
      </c>
      <c r="X233" s="41">
        <v>0</v>
      </c>
      <c r="Y233" s="41">
        <v>0</v>
      </c>
      <c r="Z233" s="41">
        <v>0</v>
      </c>
      <c r="AA233" s="41"/>
      <c r="AB233" s="41">
        <v>0</v>
      </c>
      <c r="AC233" s="41">
        <v>0</v>
      </c>
      <c r="AD233" s="41">
        <v>0</v>
      </c>
      <c r="AE233" s="41">
        <v>0</v>
      </c>
      <c r="AF233" s="41">
        <v>0</v>
      </c>
      <c r="AG233" s="41"/>
      <c r="AH233" s="41">
        <v>0</v>
      </c>
    </row>
    <row r="234" spans="1:34" ht="15.75" customHeight="1" x14ac:dyDescent="0.2">
      <c r="A234" s="289"/>
      <c r="B234" s="284" t="s">
        <v>48</v>
      </c>
      <c r="C234" s="284"/>
      <c r="D234" s="24" t="s">
        <v>143</v>
      </c>
      <c r="E234" s="41">
        <v>0</v>
      </c>
      <c r="F234" s="41">
        <v>0</v>
      </c>
      <c r="G234" s="41">
        <v>0</v>
      </c>
      <c r="H234" s="41">
        <v>0</v>
      </c>
      <c r="I234" s="41"/>
      <c r="J234" s="41">
        <v>0</v>
      </c>
      <c r="K234" s="41">
        <v>0</v>
      </c>
      <c r="L234" s="41">
        <v>0</v>
      </c>
      <c r="M234" s="41">
        <v>0</v>
      </c>
      <c r="N234" s="41">
        <v>0</v>
      </c>
      <c r="O234" s="41"/>
      <c r="P234" s="41">
        <v>0</v>
      </c>
      <c r="Q234" s="41">
        <v>0</v>
      </c>
      <c r="R234" s="41">
        <v>0</v>
      </c>
      <c r="S234" s="41">
        <v>0</v>
      </c>
      <c r="T234" s="41">
        <v>0</v>
      </c>
      <c r="U234" s="41"/>
      <c r="V234" s="26">
        <v>0</v>
      </c>
      <c r="W234" s="26">
        <v>0</v>
      </c>
      <c r="X234" s="26">
        <v>0</v>
      </c>
      <c r="Y234" s="26">
        <v>0</v>
      </c>
      <c r="Z234" s="26">
        <v>0</v>
      </c>
      <c r="AA234" s="26"/>
      <c r="AB234" s="26">
        <v>0</v>
      </c>
      <c r="AC234" s="26">
        <v>0</v>
      </c>
      <c r="AD234" s="26">
        <v>0</v>
      </c>
      <c r="AE234" s="26">
        <v>0</v>
      </c>
      <c r="AF234" s="26">
        <v>0</v>
      </c>
      <c r="AG234" s="26"/>
      <c r="AH234" s="26">
        <v>0</v>
      </c>
    </row>
    <row r="235" spans="1:34" x14ac:dyDescent="0.2">
      <c r="A235" s="289"/>
      <c r="B235" s="284"/>
      <c r="C235" s="284"/>
      <c r="D235" s="24" t="s">
        <v>143</v>
      </c>
      <c r="E235" s="41">
        <v>2093</v>
      </c>
      <c r="F235" s="41">
        <v>2093</v>
      </c>
      <c r="G235" s="41">
        <v>2093</v>
      </c>
      <c r="H235" s="41">
        <v>2093</v>
      </c>
      <c r="I235" s="41"/>
      <c r="J235" s="41">
        <v>2093</v>
      </c>
      <c r="K235" s="41">
        <v>2090</v>
      </c>
      <c r="L235" s="41">
        <v>2090</v>
      </c>
      <c r="M235" s="41">
        <v>2090</v>
      </c>
      <c r="N235" s="41">
        <v>2090</v>
      </c>
      <c r="O235" s="41"/>
      <c r="P235" s="41">
        <v>2090</v>
      </c>
      <c r="Q235" s="23">
        <v>2085</v>
      </c>
      <c r="R235" s="23">
        <v>2085</v>
      </c>
      <c r="S235" s="23">
        <v>2085</v>
      </c>
      <c r="T235" s="23">
        <v>2085</v>
      </c>
      <c r="U235" s="41"/>
      <c r="V235" s="41">
        <v>2085</v>
      </c>
      <c r="W235" s="47">
        <v>2084</v>
      </c>
      <c r="X235" s="47">
        <v>2084</v>
      </c>
      <c r="Y235" s="47">
        <v>2084</v>
      </c>
      <c r="Z235" s="47">
        <v>2084</v>
      </c>
      <c r="AA235" s="41"/>
      <c r="AB235" s="41">
        <v>2084</v>
      </c>
      <c r="AC235" s="47">
        <v>2080</v>
      </c>
      <c r="AD235" s="47">
        <v>2080</v>
      </c>
      <c r="AE235" s="47">
        <v>2080</v>
      </c>
      <c r="AF235" s="47">
        <v>2080</v>
      </c>
      <c r="AG235" s="41"/>
      <c r="AH235" s="41">
        <v>2080</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15.7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5.75"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9"/>
      <c r="D256" s="9"/>
    </row>
  </sheetData>
  <mergeCells count="2889">
    <mergeCell ref="A2:P2"/>
    <mergeCell ref="A8:T8"/>
    <mergeCell ref="B236:AH236"/>
    <mergeCell ref="B225:AH225"/>
    <mergeCell ref="B194:AH194"/>
    <mergeCell ref="B189:AH189"/>
    <mergeCell ref="B152:AH152"/>
    <mergeCell ref="B124:AH124"/>
    <mergeCell ref="B80:AH80"/>
    <mergeCell ref="B73:AH73"/>
    <mergeCell ref="J253:J254"/>
    <mergeCell ref="P253:P254"/>
    <mergeCell ref="V253:V254"/>
    <mergeCell ref="AB253:AB254"/>
    <mergeCell ref="AH253:AH254"/>
    <mergeCell ref="A5:B5"/>
    <mergeCell ref="A6:B6"/>
    <mergeCell ref="D198:D199"/>
    <mergeCell ref="D208:D209"/>
    <mergeCell ref="B58:AH58"/>
    <mergeCell ref="J249:J250"/>
    <mergeCell ref="P249:P250"/>
    <mergeCell ref="V249:V250"/>
    <mergeCell ref="AB249:AB250"/>
    <mergeCell ref="AH249:AH250"/>
    <mergeCell ref="J251:J252"/>
    <mergeCell ref="P251:P252"/>
    <mergeCell ref="V251:V252"/>
    <mergeCell ref="AB251:AB252"/>
    <mergeCell ref="AH251:AH252"/>
    <mergeCell ref="J245:J246"/>
    <mergeCell ref="P245:P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K241:K242"/>
    <mergeCell ref="L241:L242"/>
    <mergeCell ref="M241:M242"/>
    <mergeCell ref="N241:N242"/>
    <mergeCell ref="K243:K244"/>
    <mergeCell ref="L243:L244"/>
    <mergeCell ref="M243:M244"/>
    <mergeCell ref="N243:N244"/>
    <mergeCell ref="K245:K246"/>
    <mergeCell ref="L245:L246"/>
    <mergeCell ref="M245:M246"/>
    <mergeCell ref="N245:N246"/>
    <mergeCell ref="K247:K248"/>
    <mergeCell ref="L247:L248"/>
    <mergeCell ref="AH237:AH238"/>
    <mergeCell ref="J239:J240"/>
    <mergeCell ref="P239:P240"/>
    <mergeCell ref="V239:V240"/>
    <mergeCell ref="AB239:AB240"/>
    <mergeCell ref="AH239:AH240"/>
    <mergeCell ref="P217:P218"/>
    <mergeCell ref="V217:V218"/>
    <mergeCell ref="AB217:AB218"/>
    <mergeCell ref="AH217:AH218"/>
    <mergeCell ref="G222:H222"/>
    <mergeCell ref="M222:N222"/>
    <mergeCell ref="S222:T222"/>
    <mergeCell ref="Y222:Z222"/>
    <mergeCell ref="AE222:AF222"/>
    <mergeCell ref="Y217:Y218"/>
    <mergeCell ref="Z217:Z218"/>
    <mergeCell ref="K239:K240"/>
    <mergeCell ref="L239:L240"/>
    <mergeCell ref="M239:M240"/>
    <mergeCell ref="N239:N240"/>
    <mergeCell ref="S239:S240"/>
    <mergeCell ref="T239:T240"/>
    <mergeCell ref="AH215:AH216"/>
    <mergeCell ref="G215:G216"/>
    <mergeCell ref="H215:H216"/>
    <mergeCell ref="AH210:AH211"/>
    <mergeCell ref="D213:D214"/>
    <mergeCell ref="J213:J214"/>
    <mergeCell ref="P213:P214"/>
    <mergeCell ref="V213:V214"/>
    <mergeCell ref="AB213:AB214"/>
    <mergeCell ref="AH213:AH214"/>
    <mergeCell ref="K213:K214"/>
    <mergeCell ref="L213:L214"/>
    <mergeCell ref="M213:M214"/>
    <mergeCell ref="R213:R214"/>
    <mergeCell ref="Y213:Y214"/>
    <mergeCell ref="Z213:Z214"/>
    <mergeCell ref="W215:W216"/>
    <mergeCell ref="X215:X216"/>
    <mergeCell ref="Y215:Y216"/>
    <mergeCell ref="Z215:Z216"/>
    <mergeCell ref="AC213:AC214"/>
    <mergeCell ref="AD213:AD214"/>
    <mergeCell ref="AE213:AE214"/>
    <mergeCell ref="AF213:AF214"/>
    <mergeCell ref="AC215:AC216"/>
    <mergeCell ref="AD215:AD216"/>
    <mergeCell ref="AE215:AE216"/>
    <mergeCell ref="J208:J209"/>
    <mergeCell ref="P208:P209"/>
    <mergeCell ref="V208:V209"/>
    <mergeCell ref="AB208:AB209"/>
    <mergeCell ref="AH208:AH209"/>
    <mergeCell ref="D210:D211"/>
    <mergeCell ref="J210:J211"/>
    <mergeCell ref="P210:P211"/>
    <mergeCell ref="V210:V211"/>
    <mergeCell ref="AB210:AB211"/>
    <mergeCell ref="D206:D207"/>
    <mergeCell ref="J206:J207"/>
    <mergeCell ref="P206:P207"/>
    <mergeCell ref="V206:V207"/>
    <mergeCell ref="AB206:AB207"/>
    <mergeCell ref="AH206:AH207"/>
    <mergeCell ref="E206:E207"/>
    <mergeCell ref="F206:F207"/>
    <mergeCell ref="G206:G207"/>
    <mergeCell ref="H206:H207"/>
    <mergeCell ref="E208:E209"/>
    <mergeCell ref="F208:F209"/>
    <mergeCell ref="G208:G209"/>
    <mergeCell ref="H208:H209"/>
    <mergeCell ref="E210:E211"/>
    <mergeCell ref="F210:F211"/>
    <mergeCell ref="G210:G211"/>
    <mergeCell ref="H210:H211"/>
    <mergeCell ref="K206:K207"/>
    <mergeCell ref="L206:L207"/>
    <mergeCell ref="M206:M207"/>
    <mergeCell ref="N206:N207"/>
    <mergeCell ref="J204:J205"/>
    <mergeCell ref="P204:P205"/>
    <mergeCell ref="V204:V205"/>
    <mergeCell ref="AB204:AB205"/>
    <mergeCell ref="AH204:AH205"/>
    <mergeCell ref="E204:E205"/>
    <mergeCell ref="F204:F205"/>
    <mergeCell ref="G204:G205"/>
    <mergeCell ref="H204:H205"/>
    <mergeCell ref="D202:D203"/>
    <mergeCell ref="J202:J203"/>
    <mergeCell ref="P202:P203"/>
    <mergeCell ref="V202:V203"/>
    <mergeCell ref="AB202:AB203"/>
    <mergeCell ref="AH202:AH203"/>
    <mergeCell ref="E202:E203"/>
    <mergeCell ref="F202:F203"/>
    <mergeCell ref="G202:G203"/>
    <mergeCell ref="H202:H203"/>
    <mergeCell ref="K202:K203"/>
    <mergeCell ref="L202:L203"/>
    <mergeCell ref="M202:M203"/>
    <mergeCell ref="N202:N203"/>
    <mergeCell ref="K204:K205"/>
    <mergeCell ref="L204:L205"/>
    <mergeCell ref="M204:M205"/>
    <mergeCell ref="N204:N205"/>
    <mergeCell ref="J198:J199"/>
    <mergeCell ref="P198:P199"/>
    <mergeCell ref="V198:V199"/>
    <mergeCell ref="AB198:AB199"/>
    <mergeCell ref="AH198:AH199"/>
    <mergeCell ref="J200:J201"/>
    <mergeCell ref="P200:P201"/>
    <mergeCell ref="V200:V201"/>
    <mergeCell ref="AB200:AB201"/>
    <mergeCell ref="AH200:AH201"/>
    <mergeCell ref="D196:D197"/>
    <mergeCell ref="J196:J197"/>
    <mergeCell ref="P196:P197"/>
    <mergeCell ref="V196:V197"/>
    <mergeCell ref="AB196:AB197"/>
    <mergeCell ref="AH196:AH197"/>
    <mergeCell ref="E196:E197"/>
    <mergeCell ref="F196:F197"/>
    <mergeCell ref="G196:G197"/>
    <mergeCell ref="H196:H197"/>
    <mergeCell ref="J190:J191"/>
    <mergeCell ref="P190:P191"/>
    <mergeCell ref="V190:V191"/>
    <mergeCell ref="AB190:AB191"/>
    <mergeCell ref="AH190:AH191"/>
    <mergeCell ref="J192:J193"/>
    <mergeCell ref="P192:P193"/>
    <mergeCell ref="V192:V193"/>
    <mergeCell ref="AB192:AB193"/>
    <mergeCell ref="AH192:AH193"/>
    <mergeCell ref="J185:J186"/>
    <mergeCell ref="P185:P186"/>
    <mergeCell ref="V185:V186"/>
    <mergeCell ref="AB185:AB186"/>
    <mergeCell ref="AH185:AH186"/>
    <mergeCell ref="J187:J188"/>
    <mergeCell ref="P187:P188"/>
    <mergeCell ref="V187:V188"/>
    <mergeCell ref="AB187:AB188"/>
    <mergeCell ref="AH187:AH188"/>
    <mergeCell ref="K185:K186"/>
    <mergeCell ref="L185:L186"/>
    <mergeCell ref="M185:M186"/>
    <mergeCell ref="N185:N186"/>
    <mergeCell ref="K187:K188"/>
    <mergeCell ref="L187:L188"/>
    <mergeCell ref="M187:M188"/>
    <mergeCell ref="N187:N188"/>
    <mergeCell ref="Q185:Q186"/>
    <mergeCell ref="R185:R186"/>
    <mergeCell ref="S185:S186"/>
    <mergeCell ref="T185:T186"/>
    <mergeCell ref="J181:J182"/>
    <mergeCell ref="P181:P182"/>
    <mergeCell ref="V181:V182"/>
    <mergeCell ref="AB181:AB182"/>
    <mergeCell ref="AH181:AH182"/>
    <mergeCell ref="J183:J184"/>
    <mergeCell ref="P183:P184"/>
    <mergeCell ref="V183:V184"/>
    <mergeCell ref="AB183:AB184"/>
    <mergeCell ref="AH183:AH184"/>
    <mergeCell ref="J177:J178"/>
    <mergeCell ref="P177:P178"/>
    <mergeCell ref="V177:V178"/>
    <mergeCell ref="AB177:AB178"/>
    <mergeCell ref="AH177:AH178"/>
    <mergeCell ref="J179:J180"/>
    <mergeCell ref="P179:P180"/>
    <mergeCell ref="V179:V180"/>
    <mergeCell ref="AB179:AB180"/>
    <mergeCell ref="AH179:AH180"/>
    <mergeCell ref="L177:L178"/>
    <mergeCell ref="M177:M178"/>
    <mergeCell ref="N177:N178"/>
    <mergeCell ref="L179:L180"/>
    <mergeCell ref="M179:M180"/>
    <mergeCell ref="N179:N180"/>
    <mergeCell ref="L181:L182"/>
    <mergeCell ref="M181:M182"/>
    <mergeCell ref="N181:N182"/>
    <mergeCell ref="L183:L184"/>
    <mergeCell ref="M183:M184"/>
    <mergeCell ref="N183:N184"/>
    <mergeCell ref="J173:J174"/>
    <mergeCell ref="P173:P174"/>
    <mergeCell ref="V173:V174"/>
    <mergeCell ref="AB173:AB174"/>
    <mergeCell ref="AH173:AH174"/>
    <mergeCell ref="J175:J176"/>
    <mergeCell ref="P175:P176"/>
    <mergeCell ref="V175:V176"/>
    <mergeCell ref="AB175:AB176"/>
    <mergeCell ref="AH175:AH176"/>
    <mergeCell ref="J169:J170"/>
    <mergeCell ref="P169:P170"/>
    <mergeCell ref="V169:V170"/>
    <mergeCell ref="AB169:AB170"/>
    <mergeCell ref="AH169:AH170"/>
    <mergeCell ref="J171:J172"/>
    <mergeCell ref="P171:P172"/>
    <mergeCell ref="V171:V172"/>
    <mergeCell ref="AB171:AB172"/>
    <mergeCell ref="AH171:AH172"/>
    <mergeCell ref="L169:L170"/>
    <mergeCell ref="M169:M170"/>
    <mergeCell ref="N169:N170"/>
    <mergeCell ref="L171:L172"/>
    <mergeCell ref="M171:M172"/>
    <mergeCell ref="N171:N172"/>
    <mergeCell ref="L173:L174"/>
    <mergeCell ref="M173:M174"/>
    <mergeCell ref="N173:N174"/>
    <mergeCell ref="L175:L176"/>
    <mergeCell ref="M175:M176"/>
    <mergeCell ref="N175:N176"/>
    <mergeCell ref="J165:J166"/>
    <mergeCell ref="P165:P166"/>
    <mergeCell ref="V165:V166"/>
    <mergeCell ref="AB165:AB166"/>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L161:L162"/>
    <mergeCell ref="M161:M162"/>
    <mergeCell ref="N161:N162"/>
    <mergeCell ref="L163:L164"/>
    <mergeCell ref="M163:M164"/>
    <mergeCell ref="N163:N164"/>
    <mergeCell ref="L165:L166"/>
    <mergeCell ref="M165:M166"/>
    <mergeCell ref="N165:N166"/>
    <mergeCell ref="L167:L168"/>
    <mergeCell ref="M167:M168"/>
    <mergeCell ref="N167:N168"/>
    <mergeCell ref="P157:P158"/>
    <mergeCell ref="V157:V158"/>
    <mergeCell ref="AB157:AB158"/>
    <mergeCell ref="AH157:AH158"/>
    <mergeCell ref="J159:J160"/>
    <mergeCell ref="P159:P160"/>
    <mergeCell ref="V159:V160"/>
    <mergeCell ref="AB159:AB160"/>
    <mergeCell ref="AH159:AH160"/>
    <mergeCell ref="J153:J154"/>
    <mergeCell ref="P153:P154"/>
    <mergeCell ref="V153:V154"/>
    <mergeCell ref="AB153:AB154"/>
    <mergeCell ref="AH153:AH154"/>
    <mergeCell ref="J155:J156"/>
    <mergeCell ref="P155:P156"/>
    <mergeCell ref="V155:V156"/>
    <mergeCell ref="AB155:AB156"/>
    <mergeCell ref="AH155:AH156"/>
    <mergeCell ref="Q153:Q154"/>
    <mergeCell ref="R153:R154"/>
    <mergeCell ref="Q157:Q158"/>
    <mergeCell ref="R157:R158"/>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K141:K142"/>
    <mergeCell ref="L141:L142"/>
    <mergeCell ref="M141:M142"/>
    <mergeCell ref="N141:N142"/>
    <mergeCell ref="Q148:Q149"/>
    <mergeCell ref="R148:R149"/>
    <mergeCell ref="S148:S149"/>
    <mergeCell ref="T148:T149"/>
    <mergeCell ref="Q150:Q151"/>
    <mergeCell ref="R150:R151"/>
    <mergeCell ref="S150:S151"/>
    <mergeCell ref="T150:T151"/>
    <mergeCell ref="J137:J138"/>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L135:L136"/>
    <mergeCell ref="M135:M136"/>
    <mergeCell ref="N135:N136"/>
    <mergeCell ref="K137:K138"/>
    <mergeCell ref="L137:L138"/>
    <mergeCell ref="M137:M138"/>
    <mergeCell ref="N137:N138"/>
    <mergeCell ref="K139:K140"/>
    <mergeCell ref="L139:L140"/>
    <mergeCell ref="M139:M140"/>
    <mergeCell ref="N139:N140"/>
    <mergeCell ref="Q133:Q134"/>
    <mergeCell ref="P129:P130"/>
    <mergeCell ref="V129:V130"/>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M122:M123"/>
    <mergeCell ref="N122:N123"/>
    <mergeCell ref="Q129:Q130"/>
    <mergeCell ref="R129:R130"/>
    <mergeCell ref="Y127:Y128"/>
    <mergeCell ref="Z127:Z128"/>
    <mergeCell ref="Y129:Y130"/>
    <mergeCell ref="Z129:Z130"/>
    <mergeCell ref="Y131:Y132"/>
    <mergeCell ref="Z131:Z132"/>
    <mergeCell ref="AC129:AC130"/>
    <mergeCell ref="AD129:AD130"/>
    <mergeCell ref="J118:J119"/>
    <mergeCell ref="P118:P119"/>
    <mergeCell ref="V118:V119"/>
    <mergeCell ref="AB118:AB119"/>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M118:M119"/>
    <mergeCell ref="N118:N119"/>
    <mergeCell ref="M120:M121"/>
    <mergeCell ref="N120:N121"/>
    <mergeCell ref="Q118:Q119"/>
    <mergeCell ref="R118:R119"/>
    <mergeCell ref="W120:W121"/>
    <mergeCell ref="X120:X121"/>
    <mergeCell ref="Y120:Y121"/>
    <mergeCell ref="Z120:Z121"/>
    <mergeCell ref="V110:V111"/>
    <mergeCell ref="AB110:AB11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Q104:Q105"/>
    <mergeCell ref="R104:R105"/>
    <mergeCell ref="S104:S105"/>
    <mergeCell ref="T104:T105"/>
    <mergeCell ref="Q106:Q107"/>
    <mergeCell ref="R106:R107"/>
    <mergeCell ref="S106:S107"/>
    <mergeCell ref="T106:T107"/>
    <mergeCell ref="AF104:AF105"/>
    <mergeCell ref="AC106:AC107"/>
    <mergeCell ref="AD106:AD107"/>
    <mergeCell ref="AE106:AE107"/>
    <mergeCell ref="J100:J101"/>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E96:E97"/>
    <mergeCell ref="F96:F97"/>
    <mergeCell ref="G96:G97"/>
    <mergeCell ref="T102:T103"/>
    <mergeCell ref="W96:W97"/>
    <mergeCell ref="X96:X97"/>
    <mergeCell ref="Y96:Y97"/>
    <mergeCell ref="Z96:Z97"/>
    <mergeCell ref="W98:W99"/>
    <mergeCell ref="X98:X99"/>
    <mergeCell ref="Y98:Y99"/>
    <mergeCell ref="Z98:Z99"/>
    <mergeCell ref="W100:W101"/>
    <mergeCell ref="X100:X101"/>
    <mergeCell ref="Y100:Y101"/>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93:E94"/>
    <mergeCell ref="F93:F94"/>
    <mergeCell ref="G93:G94"/>
    <mergeCell ref="H93:H94"/>
    <mergeCell ref="Q93:Q94"/>
    <mergeCell ref="R93:R94"/>
    <mergeCell ref="S93:S94"/>
    <mergeCell ref="T93:T94"/>
    <mergeCell ref="W93:W94"/>
    <mergeCell ref="X93:X94"/>
    <mergeCell ref="Y93:Y94"/>
    <mergeCell ref="Z93:Z94"/>
    <mergeCell ref="J85:J86"/>
    <mergeCell ref="P85:P86"/>
    <mergeCell ref="V85:V86"/>
    <mergeCell ref="AB85:AB86"/>
    <mergeCell ref="AH85:AH86"/>
    <mergeCell ref="J87:J88"/>
    <mergeCell ref="P87:P88"/>
    <mergeCell ref="V87:V88"/>
    <mergeCell ref="AB87:AB88"/>
    <mergeCell ref="AH87:AH88"/>
    <mergeCell ref="P78:P79"/>
    <mergeCell ref="V78:V79"/>
    <mergeCell ref="AB78:AB79"/>
    <mergeCell ref="AH78:AH79"/>
    <mergeCell ref="J83:J84"/>
    <mergeCell ref="P83:P84"/>
    <mergeCell ref="V83:V84"/>
    <mergeCell ref="AB83:AB84"/>
    <mergeCell ref="AH83:AH84"/>
    <mergeCell ref="W78:W79"/>
    <mergeCell ref="X78:X79"/>
    <mergeCell ref="Y78:Y79"/>
    <mergeCell ref="Z78:Z79"/>
    <mergeCell ref="AC78:AC79"/>
    <mergeCell ref="AD78:AD79"/>
    <mergeCell ref="AE78:AE79"/>
    <mergeCell ref="AF78:AF79"/>
    <mergeCell ref="K83:K84"/>
    <mergeCell ref="L83:L84"/>
    <mergeCell ref="M83:M84"/>
    <mergeCell ref="N83:N84"/>
    <mergeCell ref="K85:K86"/>
    <mergeCell ref="D74:D75"/>
    <mergeCell ref="J74:J75"/>
    <mergeCell ref="P74:P75"/>
    <mergeCell ref="V74:V75"/>
    <mergeCell ref="AB74:AB75"/>
    <mergeCell ref="AH74:AH75"/>
    <mergeCell ref="W74:W75"/>
    <mergeCell ref="X74:X75"/>
    <mergeCell ref="Y74:Y75"/>
    <mergeCell ref="Z74:Z75"/>
    <mergeCell ref="D71:D72"/>
    <mergeCell ref="J71:J72"/>
    <mergeCell ref="P71:P72"/>
    <mergeCell ref="V71:V72"/>
    <mergeCell ref="AB71:AB72"/>
    <mergeCell ref="AH71:AH72"/>
    <mergeCell ref="E71:E72"/>
    <mergeCell ref="F71:F72"/>
    <mergeCell ref="G71:G72"/>
    <mergeCell ref="H71:H72"/>
    <mergeCell ref="K71:K72"/>
    <mergeCell ref="L71:L72"/>
    <mergeCell ref="M71:M72"/>
    <mergeCell ref="N71:N72"/>
    <mergeCell ref="X71:X72"/>
    <mergeCell ref="Y71:Y72"/>
    <mergeCell ref="Z71:Z72"/>
    <mergeCell ref="AC74:AC75"/>
    <mergeCell ref="AD74:AD75"/>
    <mergeCell ref="AE74:AE75"/>
    <mergeCell ref="AF74:AF75"/>
    <mergeCell ref="D69:D70"/>
    <mergeCell ref="J69:J70"/>
    <mergeCell ref="P69:P70"/>
    <mergeCell ref="V69:V70"/>
    <mergeCell ref="AB69:AB70"/>
    <mergeCell ref="AH69:AH70"/>
    <mergeCell ref="E69:E70"/>
    <mergeCell ref="F69:F70"/>
    <mergeCell ref="G69:G70"/>
    <mergeCell ref="H69:H70"/>
    <mergeCell ref="D67:D68"/>
    <mergeCell ref="J67:J68"/>
    <mergeCell ref="P67:P68"/>
    <mergeCell ref="V67:V68"/>
    <mergeCell ref="AB67:AB68"/>
    <mergeCell ref="AH67:AH68"/>
    <mergeCell ref="E67:E68"/>
    <mergeCell ref="F67:F68"/>
    <mergeCell ref="G67:G68"/>
    <mergeCell ref="H67:H68"/>
    <mergeCell ref="K67:K68"/>
    <mergeCell ref="L67:L68"/>
    <mergeCell ref="M67:M68"/>
    <mergeCell ref="N67:N68"/>
    <mergeCell ref="K69:K70"/>
    <mergeCell ref="L69:L70"/>
    <mergeCell ref="M69:M70"/>
    <mergeCell ref="N69:N70"/>
    <mergeCell ref="X69:X70"/>
    <mergeCell ref="Y69:Y70"/>
    <mergeCell ref="Z69:Z70"/>
    <mergeCell ref="AC69:AC70"/>
    <mergeCell ref="D65:D66"/>
    <mergeCell ref="J65:J66"/>
    <mergeCell ref="P65:P66"/>
    <mergeCell ref="V65:V66"/>
    <mergeCell ref="AB65:AB66"/>
    <mergeCell ref="AH65:AH66"/>
    <mergeCell ref="E65:E66"/>
    <mergeCell ref="F65:F66"/>
    <mergeCell ref="G65:G66"/>
    <mergeCell ref="H65:H66"/>
    <mergeCell ref="D63:D64"/>
    <mergeCell ref="J63:J64"/>
    <mergeCell ref="P63:P64"/>
    <mergeCell ref="V63:V64"/>
    <mergeCell ref="AB63:AB64"/>
    <mergeCell ref="AH63:AH64"/>
    <mergeCell ref="K63:K64"/>
    <mergeCell ref="L63:L64"/>
    <mergeCell ref="M63:M64"/>
    <mergeCell ref="N63:N64"/>
    <mergeCell ref="E63:E64"/>
    <mergeCell ref="F63:F64"/>
    <mergeCell ref="G63:G64"/>
    <mergeCell ref="H63:H64"/>
    <mergeCell ref="K65:K66"/>
    <mergeCell ref="L65:L66"/>
    <mergeCell ref="M65:M66"/>
    <mergeCell ref="N65:N66"/>
    <mergeCell ref="Q63:Q64"/>
    <mergeCell ref="R63:R64"/>
    <mergeCell ref="S63:S64"/>
    <mergeCell ref="T63:T64"/>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E56:E57"/>
    <mergeCell ref="F56:F57"/>
    <mergeCell ref="T61:T62"/>
    <mergeCell ref="X59:X60"/>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AH46:AH47"/>
    <mergeCell ref="D48:D49"/>
    <mergeCell ref="I48:I49"/>
    <mergeCell ref="J48:J49"/>
    <mergeCell ref="P48:P49"/>
    <mergeCell ref="V48:V49"/>
    <mergeCell ref="AB48:AB49"/>
    <mergeCell ref="AH48:AH49"/>
    <mergeCell ref="D46:D47"/>
    <mergeCell ref="I46:I47"/>
    <mergeCell ref="J46:J47"/>
    <mergeCell ref="P46:P47"/>
    <mergeCell ref="V46:V47"/>
    <mergeCell ref="AB46:AB47"/>
    <mergeCell ref="E48:E49"/>
    <mergeCell ref="F48:F49"/>
    <mergeCell ref="E50:E51"/>
    <mergeCell ref="F50:F51"/>
    <mergeCell ref="AH42:AH43"/>
    <mergeCell ref="D44:D45"/>
    <mergeCell ref="I44:I45"/>
    <mergeCell ref="J44:J45"/>
    <mergeCell ref="P44:P45"/>
    <mergeCell ref="V44:V45"/>
    <mergeCell ref="AB44:AB45"/>
    <mergeCell ref="AH44:AH45"/>
    <mergeCell ref="D42:D43"/>
    <mergeCell ref="I42:I43"/>
    <mergeCell ref="J42:J43"/>
    <mergeCell ref="P42:P43"/>
    <mergeCell ref="V42:V43"/>
    <mergeCell ref="AB42:AB43"/>
    <mergeCell ref="AH37:AH38"/>
    <mergeCell ref="D40:D41"/>
    <mergeCell ref="I40:I41"/>
    <mergeCell ref="J40:J41"/>
    <mergeCell ref="P40:P41"/>
    <mergeCell ref="V40:V41"/>
    <mergeCell ref="AB40:AB41"/>
    <mergeCell ref="AH40:AH41"/>
    <mergeCell ref="D37:D38"/>
    <mergeCell ref="J37:J38"/>
    <mergeCell ref="O37:O38"/>
    <mergeCell ref="P37:P38"/>
    <mergeCell ref="V37:V38"/>
    <mergeCell ref="AB37:AB38"/>
    <mergeCell ref="B39:AH39"/>
    <mergeCell ref="K37:K38"/>
    <mergeCell ref="AG37:AG38"/>
    <mergeCell ref="E40:E41"/>
    <mergeCell ref="AH33:AH34"/>
    <mergeCell ref="D35:D36"/>
    <mergeCell ref="I35:I36"/>
    <mergeCell ref="J35:J36"/>
    <mergeCell ref="O35:O36"/>
    <mergeCell ref="P35:P36"/>
    <mergeCell ref="V35:V36"/>
    <mergeCell ref="AB35:AB36"/>
    <mergeCell ref="AH35:AH36"/>
    <mergeCell ref="D33:D34"/>
    <mergeCell ref="I33:I34"/>
    <mergeCell ref="J33:J34"/>
    <mergeCell ref="O33:O34"/>
    <mergeCell ref="P33:P34"/>
    <mergeCell ref="V33:V34"/>
    <mergeCell ref="N33:N34"/>
    <mergeCell ref="Q33:Q34"/>
    <mergeCell ref="R33:R34"/>
    <mergeCell ref="S33:S34"/>
    <mergeCell ref="E35:E36"/>
    <mergeCell ref="F35:F36"/>
    <mergeCell ref="G35:G36"/>
    <mergeCell ref="H35:H36"/>
    <mergeCell ref="K35:K36"/>
    <mergeCell ref="L35:L36"/>
    <mergeCell ref="M35:M36"/>
    <mergeCell ref="N35:N36"/>
    <mergeCell ref="Q35:Q36"/>
    <mergeCell ref="R35:R36"/>
    <mergeCell ref="S35:S36"/>
    <mergeCell ref="T35:T36"/>
    <mergeCell ref="U35:U36"/>
    <mergeCell ref="AH29:AH30"/>
    <mergeCell ref="D31:D32"/>
    <mergeCell ref="I31:I32"/>
    <mergeCell ref="J31:J32"/>
    <mergeCell ref="O31:O32"/>
    <mergeCell ref="P31:P32"/>
    <mergeCell ref="V31:V32"/>
    <mergeCell ref="AB31:AB32"/>
    <mergeCell ref="AH31:AH32"/>
    <mergeCell ref="D29:D30"/>
    <mergeCell ref="I29:I30"/>
    <mergeCell ref="J29:J30"/>
    <mergeCell ref="O29:O30"/>
    <mergeCell ref="P29:P30"/>
    <mergeCell ref="V29:V30"/>
    <mergeCell ref="L29:L30"/>
    <mergeCell ref="M29:M30"/>
    <mergeCell ref="N29:N30"/>
    <mergeCell ref="Q29:Q30"/>
    <mergeCell ref="E31:E32"/>
    <mergeCell ref="F31:F32"/>
    <mergeCell ref="G31:G32"/>
    <mergeCell ref="H31:H32"/>
    <mergeCell ref="K31:K32"/>
    <mergeCell ref="L31:L32"/>
    <mergeCell ref="M31:M32"/>
    <mergeCell ref="N31:N32"/>
    <mergeCell ref="Q31:Q32"/>
    <mergeCell ref="R31:R32"/>
    <mergeCell ref="S31:S32"/>
    <mergeCell ref="T31:T32"/>
    <mergeCell ref="U31:U32"/>
    <mergeCell ref="AH25:AH26"/>
    <mergeCell ref="D27:D28"/>
    <mergeCell ref="I27:I28"/>
    <mergeCell ref="J27:J28"/>
    <mergeCell ref="O27:O28"/>
    <mergeCell ref="P27:P28"/>
    <mergeCell ref="V27:V28"/>
    <mergeCell ref="AB27:AB28"/>
    <mergeCell ref="AH27:AH28"/>
    <mergeCell ref="D25:D26"/>
    <mergeCell ref="I25:I26"/>
    <mergeCell ref="J25:J26"/>
    <mergeCell ref="O25:O26"/>
    <mergeCell ref="P25:P26"/>
    <mergeCell ref="V25:V26"/>
    <mergeCell ref="N25:N26"/>
    <mergeCell ref="Q25:Q26"/>
    <mergeCell ref="R25:R26"/>
    <mergeCell ref="S25:S26"/>
    <mergeCell ref="E27:E28"/>
    <mergeCell ref="F27:F28"/>
    <mergeCell ref="G27:G28"/>
    <mergeCell ref="H27:H28"/>
    <mergeCell ref="K27:K28"/>
    <mergeCell ref="L27:L28"/>
    <mergeCell ref="M27:M28"/>
    <mergeCell ref="N27:N28"/>
    <mergeCell ref="Q27:Q28"/>
    <mergeCell ref="R27:R28"/>
    <mergeCell ref="S27:S28"/>
    <mergeCell ref="T27:T28"/>
    <mergeCell ref="U27:U28"/>
    <mergeCell ref="AH21:AH22"/>
    <mergeCell ref="D23:D24"/>
    <mergeCell ref="I23:I24"/>
    <mergeCell ref="J23:J24"/>
    <mergeCell ref="O23:O24"/>
    <mergeCell ref="P23:P24"/>
    <mergeCell ref="V23:V24"/>
    <mergeCell ref="AB23:AB24"/>
    <mergeCell ref="AH23:AH24"/>
    <mergeCell ref="D21:D22"/>
    <mergeCell ref="I21:I22"/>
    <mergeCell ref="J21:J22"/>
    <mergeCell ref="O21:O22"/>
    <mergeCell ref="P21:P22"/>
    <mergeCell ref="V21:V22"/>
    <mergeCell ref="L21:L22"/>
    <mergeCell ref="M21:M22"/>
    <mergeCell ref="N21:N22"/>
    <mergeCell ref="Q21:Q22"/>
    <mergeCell ref="E23:E24"/>
    <mergeCell ref="F23:F24"/>
    <mergeCell ref="G23:G24"/>
    <mergeCell ref="H23:H24"/>
    <mergeCell ref="K23:K24"/>
    <mergeCell ref="L23:L24"/>
    <mergeCell ref="M23:M24"/>
    <mergeCell ref="N23:N24"/>
    <mergeCell ref="Q23:Q24"/>
    <mergeCell ref="R23:R24"/>
    <mergeCell ref="S23:S24"/>
    <mergeCell ref="T23:T24"/>
    <mergeCell ref="U23:U24"/>
    <mergeCell ref="AH19:AH20"/>
    <mergeCell ref="M17:M18"/>
    <mergeCell ref="V15:V16"/>
    <mergeCell ref="AB15:AB16"/>
    <mergeCell ref="AH15:AH16"/>
    <mergeCell ref="D17:D18"/>
    <mergeCell ref="I17:I18"/>
    <mergeCell ref="J17:J18"/>
    <mergeCell ref="O17:O18"/>
    <mergeCell ref="P17:P18"/>
    <mergeCell ref="V17:V18"/>
    <mergeCell ref="AB17:AB18"/>
    <mergeCell ref="E17:E18"/>
    <mergeCell ref="F17:F18"/>
    <mergeCell ref="G17:G18"/>
    <mergeCell ref="H17:H18"/>
    <mergeCell ref="K17:K18"/>
    <mergeCell ref="L17:L18"/>
    <mergeCell ref="N17:N18"/>
    <mergeCell ref="Q17:Q18"/>
    <mergeCell ref="R17:R18"/>
    <mergeCell ref="S17:S18"/>
    <mergeCell ref="T17:T18"/>
    <mergeCell ref="U17:U18"/>
    <mergeCell ref="P15:P16"/>
    <mergeCell ref="B14:AH14"/>
    <mergeCell ref="B15:B20"/>
    <mergeCell ref="C10:C12"/>
    <mergeCell ref="C15:C16"/>
    <mergeCell ref="Y5:Y6"/>
    <mergeCell ref="E10:I10"/>
    <mergeCell ref="K10:P10"/>
    <mergeCell ref="Q10:V10"/>
    <mergeCell ref="W10:AA10"/>
    <mergeCell ref="AC10:AG10"/>
    <mergeCell ref="B108:C108"/>
    <mergeCell ref="C56:C57"/>
    <mergeCell ref="B61:C62"/>
    <mergeCell ref="B63:C64"/>
    <mergeCell ref="B78:C79"/>
    <mergeCell ref="C87:C88"/>
    <mergeCell ref="B89:B94"/>
    <mergeCell ref="C89:C90"/>
    <mergeCell ref="C21:C22"/>
    <mergeCell ref="C19:C20"/>
    <mergeCell ref="B21:B26"/>
    <mergeCell ref="C27:C28"/>
    <mergeCell ref="B95:C95"/>
    <mergeCell ref="B81:C81"/>
    <mergeCell ref="C42:C43"/>
    <mergeCell ref="C54:C55"/>
    <mergeCell ref="AH17:AH18"/>
    <mergeCell ref="D19:D20"/>
    <mergeCell ref="I19:I20"/>
    <mergeCell ref="J19:J20"/>
    <mergeCell ref="O19:O20"/>
    <mergeCell ref="A4:C4"/>
    <mergeCell ref="A7:C7"/>
    <mergeCell ref="A40:A51"/>
    <mergeCell ref="C44:C45"/>
    <mergeCell ref="B10:B12"/>
    <mergeCell ref="B46:B51"/>
    <mergeCell ref="C50:C51"/>
    <mergeCell ref="C48:C49"/>
    <mergeCell ref="C46:C47"/>
    <mergeCell ref="C17:C18"/>
    <mergeCell ref="A52:A57"/>
    <mergeCell ref="B52:B57"/>
    <mergeCell ref="E11:J11"/>
    <mergeCell ref="D15:D16"/>
    <mergeCell ref="I15:I16"/>
    <mergeCell ref="J15:J16"/>
    <mergeCell ref="O15:O16"/>
    <mergeCell ref="B69:C70"/>
    <mergeCell ref="B59:C60"/>
    <mergeCell ref="B65:C66"/>
    <mergeCell ref="B27:B32"/>
    <mergeCell ref="C29:C30"/>
    <mergeCell ref="C31:C32"/>
    <mergeCell ref="C25:C26"/>
    <mergeCell ref="A74:A79"/>
    <mergeCell ref="A59:A72"/>
    <mergeCell ref="B71:C72"/>
    <mergeCell ref="B67:C68"/>
    <mergeCell ref="B76:C76"/>
    <mergeCell ref="C85:C86"/>
    <mergeCell ref="B74:C75"/>
    <mergeCell ref="B77:C77"/>
    <mergeCell ref="C91:C92"/>
    <mergeCell ref="C93:C94"/>
    <mergeCell ref="C52:C53"/>
    <mergeCell ref="B40:B45"/>
    <mergeCell ref="A15:A38"/>
    <mergeCell ref="B33:B38"/>
    <mergeCell ref="C33:C34"/>
    <mergeCell ref="C35:C36"/>
    <mergeCell ref="C37:C38"/>
    <mergeCell ref="C23:C24"/>
    <mergeCell ref="C40:C41"/>
    <mergeCell ref="B96:B101"/>
    <mergeCell ref="C96:C97"/>
    <mergeCell ref="C100:C101"/>
    <mergeCell ref="C104:C105"/>
    <mergeCell ref="C98:C99"/>
    <mergeCell ref="B102:B107"/>
    <mergeCell ref="C102:C103"/>
    <mergeCell ref="A109:A123"/>
    <mergeCell ref="B109:C109"/>
    <mergeCell ref="B110:C111"/>
    <mergeCell ref="C106:C107"/>
    <mergeCell ref="A82:A107"/>
    <mergeCell ref="B83:B88"/>
    <mergeCell ref="C83:C84"/>
    <mergeCell ref="C114:C115"/>
    <mergeCell ref="B118:B123"/>
    <mergeCell ref="C118:C119"/>
    <mergeCell ref="B112:B117"/>
    <mergeCell ref="C112:C113"/>
    <mergeCell ref="C116:C117"/>
    <mergeCell ref="C120:C121"/>
    <mergeCell ref="C122:C123"/>
    <mergeCell ref="A125:A151"/>
    <mergeCell ref="B125:B130"/>
    <mergeCell ref="C125:C126"/>
    <mergeCell ref="C127:C128"/>
    <mergeCell ref="C129:C130"/>
    <mergeCell ref="C133:C134"/>
    <mergeCell ref="C131:C132"/>
    <mergeCell ref="C135:C136"/>
    <mergeCell ref="B137:B142"/>
    <mergeCell ref="C137:C138"/>
    <mergeCell ref="B131:B136"/>
    <mergeCell ref="C141:C142"/>
    <mergeCell ref="C139:C140"/>
    <mergeCell ref="B143:B145"/>
    <mergeCell ref="B146:B151"/>
    <mergeCell ref="C146:C147"/>
    <mergeCell ref="A153:A188"/>
    <mergeCell ref="B153:B158"/>
    <mergeCell ref="C153:C154"/>
    <mergeCell ref="C148:C149"/>
    <mergeCell ref="C150:C151"/>
    <mergeCell ref="C155:C156"/>
    <mergeCell ref="C157:C158"/>
    <mergeCell ref="B159:B164"/>
    <mergeCell ref="C159:C160"/>
    <mergeCell ref="C161:C162"/>
    <mergeCell ref="C163:C164"/>
    <mergeCell ref="B165:B170"/>
    <mergeCell ref="C165:C166"/>
    <mergeCell ref="C167:C168"/>
    <mergeCell ref="B171:B176"/>
    <mergeCell ref="C171:C172"/>
    <mergeCell ref="C169:C170"/>
    <mergeCell ref="C175:C176"/>
    <mergeCell ref="C173:C174"/>
    <mergeCell ref="C179:C180"/>
    <mergeCell ref="C185:C186"/>
    <mergeCell ref="B183:B188"/>
    <mergeCell ref="C183:C184"/>
    <mergeCell ref="C187:C188"/>
    <mergeCell ref="B177:B182"/>
    <mergeCell ref="C177:C178"/>
    <mergeCell ref="C181:C182"/>
    <mergeCell ref="A190:A193"/>
    <mergeCell ref="B190:C191"/>
    <mergeCell ref="B192:C193"/>
    <mergeCell ref="B202:B207"/>
    <mergeCell ref="C202:C203"/>
    <mergeCell ref="C204:C205"/>
    <mergeCell ref="B196:C197"/>
    <mergeCell ref="B198:C199"/>
    <mergeCell ref="B200:C201"/>
    <mergeCell ref="C206:C207"/>
    <mergeCell ref="B210:C211"/>
    <mergeCell ref="B208:C209"/>
    <mergeCell ref="A213:A218"/>
    <mergeCell ref="B213:C214"/>
    <mergeCell ref="B215:C216"/>
    <mergeCell ref="B217:C218"/>
    <mergeCell ref="A196:A211"/>
    <mergeCell ref="B230:C231"/>
    <mergeCell ref="A226:A235"/>
    <mergeCell ref="B226:C227"/>
    <mergeCell ref="B228:C229"/>
    <mergeCell ref="A222:A223"/>
    <mergeCell ref="B222:B223"/>
    <mergeCell ref="C222:C223"/>
    <mergeCell ref="B232:C233"/>
    <mergeCell ref="B234:C235"/>
    <mergeCell ref="A237:A254"/>
    <mergeCell ref="B237:B242"/>
    <mergeCell ref="C245:C246"/>
    <mergeCell ref="C253:C254"/>
    <mergeCell ref="C239:C240"/>
    <mergeCell ref="B243:B248"/>
    <mergeCell ref="C243:C244"/>
    <mergeCell ref="C241:C242"/>
    <mergeCell ref="B249:B254"/>
    <mergeCell ref="C249:C250"/>
    <mergeCell ref="C251:C252"/>
    <mergeCell ref="C247:C248"/>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83:D184"/>
    <mergeCell ref="D185:D186"/>
    <mergeCell ref="D187:D188"/>
    <mergeCell ref="D190:D191"/>
    <mergeCell ref="D167:D168"/>
    <mergeCell ref="D169:D170"/>
    <mergeCell ref="D171:D172"/>
    <mergeCell ref="D173:D174"/>
    <mergeCell ref="D175:D176"/>
    <mergeCell ref="D177:D178"/>
    <mergeCell ref="D247:D248"/>
    <mergeCell ref="D249:D250"/>
    <mergeCell ref="D251:D252"/>
    <mergeCell ref="D253:D254"/>
    <mergeCell ref="D192:D193"/>
    <mergeCell ref="D237:D238"/>
    <mergeCell ref="D239:D240"/>
    <mergeCell ref="D241:D242"/>
    <mergeCell ref="D243:D244"/>
    <mergeCell ref="D245:D246"/>
    <mergeCell ref="D204:D205"/>
    <mergeCell ref="D215:D216"/>
    <mergeCell ref="A3:G3"/>
    <mergeCell ref="B212:AH212"/>
    <mergeCell ref="B195:AH195"/>
    <mergeCell ref="K11:P11"/>
    <mergeCell ref="Q11:V11"/>
    <mergeCell ref="W11:AB11"/>
    <mergeCell ref="AC11:AH11"/>
    <mergeCell ref="D179:D180"/>
    <mergeCell ref="D181:D182"/>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A15:AA16"/>
    <mergeCell ref="AC15:AC16"/>
    <mergeCell ref="AD15:AD16"/>
    <mergeCell ref="AE15:AE16"/>
    <mergeCell ref="AF15:AF16"/>
    <mergeCell ref="AG15:AG16"/>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E21:E22"/>
    <mergeCell ref="F21:F22"/>
    <mergeCell ref="G21:G22"/>
    <mergeCell ref="H21:H22"/>
    <mergeCell ref="K21:K22"/>
    <mergeCell ref="R21:R22"/>
    <mergeCell ref="S21:S22"/>
    <mergeCell ref="T21:T22"/>
    <mergeCell ref="U21:U22"/>
    <mergeCell ref="W21:W22"/>
    <mergeCell ref="X21:X22"/>
    <mergeCell ref="Y21:Y22"/>
    <mergeCell ref="Z21:Z22"/>
    <mergeCell ref="AA21:AA22"/>
    <mergeCell ref="AC21:AC22"/>
    <mergeCell ref="AD21:AD22"/>
    <mergeCell ref="AE21:AE22"/>
    <mergeCell ref="AB21:AB22"/>
    <mergeCell ref="AF21:AF22"/>
    <mergeCell ref="AG21:AG22"/>
    <mergeCell ref="P19:P20"/>
    <mergeCell ref="V19:V20"/>
    <mergeCell ref="AB19:AB20"/>
    <mergeCell ref="W23:W24"/>
    <mergeCell ref="X23:X24"/>
    <mergeCell ref="Y23:Y24"/>
    <mergeCell ref="Z23:Z24"/>
    <mergeCell ref="AA23:AA24"/>
    <mergeCell ref="AC23:AC24"/>
    <mergeCell ref="AD23:AD24"/>
    <mergeCell ref="AE23:AE24"/>
    <mergeCell ref="AF23:AF24"/>
    <mergeCell ref="AG23:AG24"/>
    <mergeCell ref="E25:E26"/>
    <mergeCell ref="F25:F26"/>
    <mergeCell ref="G25:G26"/>
    <mergeCell ref="H25:H26"/>
    <mergeCell ref="K25:K26"/>
    <mergeCell ref="L25:L26"/>
    <mergeCell ref="M25:M26"/>
    <mergeCell ref="T25:T26"/>
    <mergeCell ref="U25:U26"/>
    <mergeCell ref="W25:W26"/>
    <mergeCell ref="X25:X26"/>
    <mergeCell ref="Y25:Y26"/>
    <mergeCell ref="Z25:Z26"/>
    <mergeCell ref="AA25:AA26"/>
    <mergeCell ref="AC25:AC26"/>
    <mergeCell ref="AD25:AD26"/>
    <mergeCell ref="AE25:AE26"/>
    <mergeCell ref="AF25:AF26"/>
    <mergeCell ref="AG25:AG26"/>
    <mergeCell ref="AB25:AB26"/>
    <mergeCell ref="W27:W28"/>
    <mergeCell ref="X27:X28"/>
    <mergeCell ref="Y27:Y28"/>
    <mergeCell ref="Z27:Z28"/>
    <mergeCell ref="AA27:AA28"/>
    <mergeCell ref="AC27:AC28"/>
    <mergeCell ref="AD27:AD28"/>
    <mergeCell ref="AE27:AE28"/>
    <mergeCell ref="AF27:AF28"/>
    <mergeCell ref="AG27:AG28"/>
    <mergeCell ref="E29:E30"/>
    <mergeCell ref="F29:F30"/>
    <mergeCell ref="G29:G30"/>
    <mergeCell ref="H29:H30"/>
    <mergeCell ref="K29:K30"/>
    <mergeCell ref="R29:R30"/>
    <mergeCell ref="S29:S30"/>
    <mergeCell ref="T29:T30"/>
    <mergeCell ref="U29:U30"/>
    <mergeCell ref="W29:W30"/>
    <mergeCell ref="X29:X30"/>
    <mergeCell ref="Y29:Y30"/>
    <mergeCell ref="Z29:Z30"/>
    <mergeCell ref="AA29:AA30"/>
    <mergeCell ref="AC29:AC30"/>
    <mergeCell ref="AD29:AD30"/>
    <mergeCell ref="AE29:AE30"/>
    <mergeCell ref="AB29:AB30"/>
    <mergeCell ref="AF29:AF30"/>
    <mergeCell ref="AG29:AG30"/>
    <mergeCell ref="W31:W32"/>
    <mergeCell ref="X31:X32"/>
    <mergeCell ref="Y31:Y32"/>
    <mergeCell ref="Z31:Z32"/>
    <mergeCell ref="AA31:AA32"/>
    <mergeCell ref="AC31:AC32"/>
    <mergeCell ref="AD31:AD32"/>
    <mergeCell ref="AE31:AE32"/>
    <mergeCell ref="AF31:AF32"/>
    <mergeCell ref="AG31:AG32"/>
    <mergeCell ref="E33:E34"/>
    <mergeCell ref="F33:F34"/>
    <mergeCell ref="G33:G34"/>
    <mergeCell ref="H33:H34"/>
    <mergeCell ref="K33:K34"/>
    <mergeCell ref="L33:L34"/>
    <mergeCell ref="M33:M34"/>
    <mergeCell ref="T33:T34"/>
    <mergeCell ref="U33:U34"/>
    <mergeCell ref="W33:W34"/>
    <mergeCell ref="X33:X34"/>
    <mergeCell ref="Y33:Y34"/>
    <mergeCell ref="Z33:Z34"/>
    <mergeCell ref="AA33:AA34"/>
    <mergeCell ref="AC33:AC34"/>
    <mergeCell ref="AD33:AD34"/>
    <mergeCell ref="AE33:AE34"/>
    <mergeCell ref="AF33:AF34"/>
    <mergeCell ref="AG33:AG34"/>
    <mergeCell ref="AB33:AB34"/>
    <mergeCell ref="W35:W36"/>
    <mergeCell ref="X35:X36"/>
    <mergeCell ref="Y35:Y36"/>
    <mergeCell ref="Z35:Z36"/>
    <mergeCell ref="AA35:AA36"/>
    <mergeCell ref="AC35:AC36"/>
    <mergeCell ref="AD35:AD36"/>
    <mergeCell ref="AE35:AE36"/>
    <mergeCell ref="AF35:AF36"/>
    <mergeCell ref="AG35:AG36"/>
    <mergeCell ref="E37:E38"/>
    <mergeCell ref="F37:F38"/>
    <mergeCell ref="G37:G38"/>
    <mergeCell ref="H37:H38"/>
    <mergeCell ref="I37:I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F40:F41"/>
    <mergeCell ref="G40:G41"/>
    <mergeCell ref="H40:H41"/>
    <mergeCell ref="E42:E43"/>
    <mergeCell ref="F42:F43"/>
    <mergeCell ref="G42:G43"/>
    <mergeCell ref="H42:H43"/>
    <mergeCell ref="E44:E45"/>
    <mergeCell ref="F44:F45"/>
    <mergeCell ref="G44:G45"/>
    <mergeCell ref="H44:H45"/>
    <mergeCell ref="E46:E47"/>
    <mergeCell ref="F46:F47"/>
    <mergeCell ref="G46:G47"/>
    <mergeCell ref="H46:H47"/>
    <mergeCell ref="G48:G49"/>
    <mergeCell ref="H48:H49"/>
    <mergeCell ref="G50:G51"/>
    <mergeCell ref="H50:H51"/>
    <mergeCell ref="E52:E53"/>
    <mergeCell ref="F52:F53"/>
    <mergeCell ref="G52:G53"/>
    <mergeCell ref="H52:H53"/>
    <mergeCell ref="E54:E55"/>
    <mergeCell ref="F54:F55"/>
    <mergeCell ref="G54:G55"/>
    <mergeCell ref="H54:H55"/>
    <mergeCell ref="G56:G57"/>
    <mergeCell ref="H56:H57"/>
    <mergeCell ref="K40:K41"/>
    <mergeCell ref="L40:L41"/>
    <mergeCell ref="M40:M41"/>
    <mergeCell ref="N40:N41"/>
    <mergeCell ref="K42:K43"/>
    <mergeCell ref="L42:L43"/>
    <mergeCell ref="M42:M43"/>
    <mergeCell ref="N42:N43"/>
    <mergeCell ref="K44:K45"/>
    <mergeCell ref="L44:L45"/>
    <mergeCell ref="M44:M45"/>
    <mergeCell ref="N44:N45"/>
    <mergeCell ref="K46:K47"/>
    <mergeCell ref="L46:L47"/>
    <mergeCell ref="M46:M47"/>
    <mergeCell ref="N46:N47"/>
    <mergeCell ref="K48:K49"/>
    <mergeCell ref="L48:L49"/>
    <mergeCell ref="M48:M49"/>
    <mergeCell ref="N48:N49"/>
    <mergeCell ref="K50:K51"/>
    <mergeCell ref="L50:L51"/>
    <mergeCell ref="M50:M51"/>
    <mergeCell ref="N50:N51"/>
    <mergeCell ref="K52:K53"/>
    <mergeCell ref="L52:L53"/>
    <mergeCell ref="M52:M53"/>
    <mergeCell ref="N52:N53"/>
    <mergeCell ref="K54:K55"/>
    <mergeCell ref="L54:L55"/>
    <mergeCell ref="M54:M55"/>
    <mergeCell ref="N54:N55"/>
    <mergeCell ref="K56:K57"/>
    <mergeCell ref="L56:L57"/>
    <mergeCell ref="M56:M57"/>
    <mergeCell ref="N56:N57"/>
    <mergeCell ref="Q40:Q41"/>
    <mergeCell ref="Q50:Q51"/>
    <mergeCell ref="Q56:Q57"/>
    <mergeCell ref="R56:R57"/>
    <mergeCell ref="S56:S57"/>
    <mergeCell ref="T56:T57"/>
    <mergeCell ref="W40:W41"/>
    <mergeCell ref="X40:X41"/>
    <mergeCell ref="W44:W45"/>
    <mergeCell ref="X44:X45"/>
    <mergeCell ref="W48:W49"/>
    <mergeCell ref="X48:X49"/>
    <mergeCell ref="W52:W53"/>
    <mergeCell ref="X52:X53"/>
    <mergeCell ref="R40:R41"/>
    <mergeCell ref="Q44:Q45"/>
    <mergeCell ref="R44:R45"/>
    <mergeCell ref="Q48:Q49"/>
    <mergeCell ref="R48:R49"/>
    <mergeCell ref="S40:S41"/>
    <mergeCell ref="T40:T41"/>
    <mergeCell ref="Q42:Q43"/>
    <mergeCell ref="R42:R43"/>
    <mergeCell ref="S42:S43"/>
    <mergeCell ref="T42:T43"/>
    <mergeCell ref="S44:S45"/>
    <mergeCell ref="T44:T45"/>
    <mergeCell ref="Q46:Q47"/>
    <mergeCell ref="R46:R47"/>
    <mergeCell ref="S46:S47"/>
    <mergeCell ref="T46:T47"/>
    <mergeCell ref="S48:S49"/>
    <mergeCell ref="T48:T49"/>
    <mergeCell ref="Y48:Y49"/>
    <mergeCell ref="Z48:Z49"/>
    <mergeCell ref="W50:W51"/>
    <mergeCell ref="X50:X51"/>
    <mergeCell ref="Y50:Y51"/>
    <mergeCell ref="Z50:Z51"/>
    <mergeCell ref="R50:R51"/>
    <mergeCell ref="S50:S51"/>
    <mergeCell ref="T50:T51"/>
    <mergeCell ref="Q52:Q53"/>
    <mergeCell ref="R52:R53"/>
    <mergeCell ref="S52:S53"/>
    <mergeCell ref="T52:T53"/>
    <mergeCell ref="Q54:Q55"/>
    <mergeCell ref="R54:R55"/>
    <mergeCell ref="S54:S55"/>
    <mergeCell ref="T54:T55"/>
    <mergeCell ref="Y52:Y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E40:AE41"/>
    <mergeCell ref="AC52:AC53"/>
    <mergeCell ref="AD52:AD53"/>
    <mergeCell ref="AE52:AE53"/>
    <mergeCell ref="Y40:Y41"/>
    <mergeCell ref="Z40:Z41"/>
    <mergeCell ref="W42:W43"/>
    <mergeCell ref="X42:X43"/>
    <mergeCell ref="Y42:Y43"/>
    <mergeCell ref="Z42:Z43"/>
    <mergeCell ref="Y44:Y45"/>
    <mergeCell ref="Z44:Z45"/>
    <mergeCell ref="W46:W47"/>
    <mergeCell ref="X46:X47"/>
    <mergeCell ref="Y46:Y47"/>
    <mergeCell ref="Z46:Z47"/>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E61:E62"/>
    <mergeCell ref="F61:F62"/>
    <mergeCell ref="G61:G62"/>
    <mergeCell ref="H61:H62"/>
    <mergeCell ref="M59:M60"/>
    <mergeCell ref="N59:N60"/>
    <mergeCell ref="K61:K62"/>
    <mergeCell ref="L61:L62"/>
    <mergeCell ref="M61:M62"/>
    <mergeCell ref="N61:N62"/>
    <mergeCell ref="Q59:Q60"/>
    <mergeCell ref="R59:R60"/>
    <mergeCell ref="S59:S60"/>
    <mergeCell ref="T59:T60"/>
    <mergeCell ref="Q61:Q62"/>
    <mergeCell ref="R61:R62"/>
    <mergeCell ref="S61:S62"/>
    <mergeCell ref="Q65:Q66"/>
    <mergeCell ref="R65:R66"/>
    <mergeCell ref="S65:S66"/>
    <mergeCell ref="T65:T66"/>
    <mergeCell ref="Q67:Q68"/>
    <mergeCell ref="R67:R68"/>
    <mergeCell ref="S67:S68"/>
    <mergeCell ref="T67:T68"/>
    <mergeCell ref="Q69:Q70"/>
    <mergeCell ref="R69:R70"/>
    <mergeCell ref="S69:S70"/>
    <mergeCell ref="T69:T70"/>
    <mergeCell ref="Q71:Q72"/>
    <mergeCell ref="R71:R72"/>
    <mergeCell ref="S71:S72"/>
    <mergeCell ref="T71:T72"/>
    <mergeCell ref="W59:W60"/>
    <mergeCell ref="W63:W64"/>
    <mergeCell ref="W69:W70"/>
    <mergeCell ref="W71:W72"/>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D69:AD70"/>
    <mergeCell ref="AE69:AE70"/>
    <mergeCell ref="AF69:AF70"/>
    <mergeCell ref="AC71:AC72"/>
    <mergeCell ref="AD71:AD72"/>
    <mergeCell ref="AE71:AE72"/>
    <mergeCell ref="AF71:AF72"/>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E83:E84"/>
    <mergeCell ref="F83:F84"/>
    <mergeCell ref="G83:G84"/>
    <mergeCell ref="H83:H84"/>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K93:K94"/>
    <mergeCell ref="L93:L94"/>
    <mergeCell ref="M93:M94"/>
    <mergeCell ref="N93:N94"/>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E104:E105"/>
    <mergeCell ref="F104:F105"/>
    <mergeCell ref="G104:G105"/>
    <mergeCell ref="H104:H105"/>
    <mergeCell ref="E106:E107"/>
    <mergeCell ref="F106:F107"/>
    <mergeCell ref="G106:G107"/>
    <mergeCell ref="H106:H107"/>
    <mergeCell ref="K96:K97"/>
    <mergeCell ref="L96:L97"/>
    <mergeCell ref="K100:K101"/>
    <mergeCell ref="L100:L101"/>
    <mergeCell ref="K104:K105"/>
    <mergeCell ref="L104:L105"/>
    <mergeCell ref="M96:M97"/>
    <mergeCell ref="N96:N97"/>
    <mergeCell ref="K98:K99"/>
    <mergeCell ref="L98:L99"/>
    <mergeCell ref="M98:M99"/>
    <mergeCell ref="N98:N99"/>
    <mergeCell ref="M100:M101"/>
    <mergeCell ref="N100:N101"/>
    <mergeCell ref="K102:K103"/>
    <mergeCell ref="L102:L103"/>
    <mergeCell ref="M102:M103"/>
    <mergeCell ref="N102:N103"/>
    <mergeCell ref="M104:M105"/>
    <mergeCell ref="N104:N105"/>
    <mergeCell ref="K106:K107"/>
    <mergeCell ref="L106:L107"/>
    <mergeCell ref="M106:M107"/>
    <mergeCell ref="N106:N107"/>
    <mergeCell ref="Z100:Z101"/>
    <mergeCell ref="W102:W103"/>
    <mergeCell ref="X102:X103"/>
    <mergeCell ref="Y102:Y103"/>
    <mergeCell ref="Z102:Z103"/>
    <mergeCell ref="W104:W105"/>
    <mergeCell ref="X104:X105"/>
    <mergeCell ref="Y104:Y105"/>
    <mergeCell ref="Z104:Z105"/>
    <mergeCell ref="W106:W107"/>
    <mergeCell ref="X106:X107"/>
    <mergeCell ref="Y106:Y107"/>
    <mergeCell ref="Z106:Z107"/>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6:AF107"/>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M110:M111"/>
    <mergeCell ref="N110:N111"/>
    <mergeCell ref="M112:M113"/>
    <mergeCell ref="N112:N113"/>
    <mergeCell ref="M114:M115"/>
    <mergeCell ref="N114:N115"/>
    <mergeCell ref="M116:M117"/>
    <mergeCell ref="N116:N117"/>
    <mergeCell ref="Q110:Q111"/>
    <mergeCell ref="R110:R111"/>
    <mergeCell ref="Q114:Q115"/>
    <mergeCell ref="R114:R115"/>
    <mergeCell ref="S110:S111"/>
    <mergeCell ref="T110:T111"/>
    <mergeCell ref="Q112:Q113"/>
    <mergeCell ref="Q122:Q123"/>
    <mergeCell ref="R122:R123"/>
    <mergeCell ref="S122:S123"/>
    <mergeCell ref="T122:T123"/>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K112:K113"/>
    <mergeCell ref="L112:L113"/>
    <mergeCell ref="K116:K117"/>
    <mergeCell ref="L116:L117"/>
    <mergeCell ref="K120:K121"/>
    <mergeCell ref="L120:L121"/>
    <mergeCell ref="K122:K123"/>
    <mergeCell ref="L122:L123"/>
    <mergeCell ref="J110:J111"/>
    <mergeCell ref="P110:P111"/>
    <mergeCell ref="Y116:Y117"/>
    <mergeCell ref="Z116:Z117"/>
    <mergeCell ref="Y118:Y119"/>
    <mergeCell ref="Z118:Z119"/>
    <mergeCell ref="R112:R113"/>
    <mergeCell ref="S112:S113"/>
    <mergeCell ref="T112:T113"/>
    <mergeCell ref="S114:S115"/>
    <mergeCell ref="T114:T115"/>
    <mergeCell ref="Q116:Q117"/>
    <mergeCell ref="R116:R117"/>
    <mergeCell ref="S116:S117"/>
    <mergeCell ref="T116:T117"/>
    <mergeCell ref="S118:S119"/>
    <mergeCell ref="T118:T119"/>
    <mergeCell ref="Q120:Q121"/>
    <mergeCell ref="R120:R121"/>
    <mergeCell ref="S120:S121"/>
    <mergeCell ref="T120:T121"/>
    <mergeCell ref="AD122:AD123"/>
    <mergeCell ref="W122:W123"/>
    <mergeCell ref="X122:X123"/>
    <mergeCell ref="Y122:Y123"/>
    <mergeCell ref="Z122:Z123"/>
    <mergeCell ref="AE114:AE115"/>
    <mergeCell ref="AE116:AE117"/>
    <mergeCell ref="AE118:AE119"/>
    <mergeCell ref="AE120:AE121"/>
    <mergeCell ref="AC122:AC123"/>
    <mergeCell ref="AD110:AD111"/>
    <mergeCell ref="AD112:AD113"/>
    <mergeCell ref="AD114:AD115"/>
    <mergeCell ref="AD116:AD117"/>
    <mergeCell ref="AD118:AD119"/>
    <mergeCell ref="AE122:AE123"/>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AF110:AF111"/>
    <mergeCell ref="AF112:AF113"/>
    <mergeCell ref="AF114:AF115"/>
    <mergeCell ref="AF116:AF117"/>
    <mergeCell ref="AF118:AF119"/>
    <mergeCell ref="AF120:AF121"/>
    <mergeCell ref="AF122:AF123"/>
    <mergeCell ref="AE110:AE111"/>
    <mergeCell ref="AE112:AE113"/>
    <mergeCell ref="J125:J126"/>
    <mergeCell ref="P125:P126"/>
    <mergeCell ref="V125:V126"/>
    <mergeCell ref="AB125:AB126"/>
    <mergeCell ref="AH125:AH126"/>
    <mergeCell ref="E125:E126"/>
    <mergeCell ref="F125:F126"/>
    <mergeCell ref="G125:G126"/>
    <mergeCell ref="H125:H126"/>
    <mergeCell ref="K125:K126"/>
    <mergeCell ref="Q125:Q126"/>
    <mergeCell ref="R125:R126"/>
    <mergeCell ref="Y125:Y126"/>
    <mergeCell ref="Z125:Z126"/>
    <mergeCell ref="AC125:AC126"/>
    <mergeCell ref="AD125:AD126"/>
    <mergeCell ref="AC110:AC111"/>
    <mergeCell ref="AC112:AC113"/>
    <mergeCell ref="AC114:AC115"/>
    <mergeCell ref="AC116:AC117"/>
    <mergeCell ref="AC118:AC119"/>
    <mergeCell ref="AC120:AC121"/>
    <mergeCell ref="AD120:AD121"/>
    <mergeCell ref="K135:K136"/>
    <mergeCell ref="E127:E128"/>
    <mergeCell ref="F127:F128"/>
    <mergeCell ref="G127:G128"/>
    <mergeCell ref="H127:H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E135:E136"/>
    <mergeCell ref="F135:F136"/>
    <mergeCell ref="G135:G136"/>
    <mergeCell ref="H135:H136"/>
    <mergeCell ref="J129:J130"/>
    <mergeCell ref="T135:T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L125:L126"/>
    <mergeCell ref="M125:M126"/>
    <mergeCell ref="N125:N126"/>
    <mergeCell ref="K127:K128"/>
    <mergeCell ref="L127:L128"/>
    <mergeCell ref="M127:M128"/>
    <mergeCell ref="N127:N128"/>
    <mergeCell ref="K129:K130"/>
    <mergeCell ref="L129:L130"/>
    <mergeCell ref="M129:M130"/>
    <mergeCell ref="N129:N130"/>
    <mergeCell ref="K131:K132"/>
    <mergeCell ref="L131:L132"/>
    <mergeCell ref="M131:M132"/>
    <mergeCell ref="N131:N132"/>
    <mergeCell ref="K133:K134"/>
    <mergeCell ref="L133:L134"/>
    <mergeCell ref="M133:M134"/>
    <mergeCell ref="N133:N134"/>
    <mergeCell ref="Q141:Q142"/>
    <mergeCell ref="R141:R142"/>
    <mergeCell ref="S141:S142"/>
    <mergeCell ref="T141:T142"/>
    <mergeCell ref="W125:W126"/>
    <mergeCell ref="X125:X126"/>
    <mergeCell ref="W129:W130"/>
    <mergeCell ref="X129:X130"/>
    <mergeCell ref="W133:W134"/>
    <mergeCell ref="X133:X134"/>
    <mergeCell ref="W127:W128"/>
    <mergeCell ref="X127:X128"/>
    <mergeCell ref="W131:W132"/>
    <mergeCell ref="X131:X132"/>
    <mergeCell ref="R133:R134"/>
    <mergeCell ref="S125:S126"/>
    <mergeCell ref="T125:T126"/>
    <mergeCell ref="Q127:Q128"/>
    <mergeCell ref="R127:R128"/>
    <mergeCell ref="S127:S128"/>
    <mergeCell ref="T127:T128"/>
    <mergeCell ref="S129:S130"/>
    <mergeCell ref="T129:T130"/>
    <mergeCell ref="Q131:Q132"/>
    <mergeCell ref="R131:R132"/>
    <mergeCell ref="S131:S132"/>
    <mergeCell ref="T131:T132"/>
    <mergeCell ref="S133:S134"/>
    <mergeCell ref="T133:T134"/>
    <mergeCell ref="Q135:Q136"/>
    <mergeCell ref="R135:R136"/>
    <mergeCell ref="S135:S136"/>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W141:W142"/>
    <mergeCell ref="X141:X142"/>
    <mergeCell ref="Y141:Y142"/>
    <mergeCell ref="Z141:Z142"/>
    <mergeCell ref="AC133:AC134"/>
    <mergeCell ref="AD133:AD134"/>
    <mergeCell ref="AE125:AE126"/>
    <mergeCell ref="AF125:AF126"/>
    <mergeCell ref="AC127:AC128"/>
    <mergeCell ref="AD127:AD128"/>
    <mergeCell ref="AE127:AE128"/>
    <mergeCell ref="AF127:AF128"/>
    <mergeCell ref="AE129:AE130"/>
    <mergeCell ref="AF129:AF130"/>
    <mergeCell ref="AC131:AC132"/>
    <mergeCell ref="AD131:AD132"/>
    <mergeCell ref="AE131:AE132"/>
    <mergeCell ref="AF131:AF132"/>
    <mergeCell ref="AE133:AE134"/>
    <mergeCell ref="AF133:AF134"/>
    <mergeCell ref="AC135:AC136"/>
    <mergeCell ref="AD135:AD136"/>
    <mergeCell ref="AE135:AE136"/>
    <mergeCell ref="AF135:AF136"/>
    <mergeCell ref="AC137:AC138"/>
    <mergeCell ref="AD137:AD138"/>
    <mergeCell ref="AE137:AE138"/>
    <mergeCell ref="AF137:AF138"/>
    <mergeCell ref="AC139:AC140"/>
    <mergeCell ref="AD139:AD140"/>
    <mergeCell ref="AE139:AE140"/>
    <mergeCell ref="AF139:AF140"/>
    <mergeCell ref="AC141:AC142"/>
    <mergeCell ref="AD141:AD142"/>
    <mergeCell ref="AE141:AE142"/>
    <mergeCell ref="AF141:AF142"/>
    <mergeCell ref="E146:E147"/>
    <mergeCell ref="F146:F147"/>
    <mergeCell ref="G146:G147"/>
    <mergeCell ref="H146:H147"/>
    <mergeCell ref="K146:K147"/>
    <mergeCell ref="N146:N147"/>
    <mergeCell ref="Q146:Q147"/>
    <mergeCell ref="R146:R147"/>
    <mergeCell ref="S146:S147"/>
    <mergeCell ref="T146:T147"/>
    <mergeCell ref="W146:W147"/>
    <mergeCell ref="X146:X147"/>
    <mergeCell ref="Q137:Q138"/>
    <mergeCell ref="R137:R138"/>
    <mergeCell ref="S137:S138"/>
    <mergeCell ref="T137:T138"/>
    <mergeCell ref="Q139:Q140"/>
    <mergeCell ref="R139:R140"/>
    <mergeCell ref="S139:S140"/>
    <mergeCell ref="T139:T140"/>
    <mergeCell ref="E148:E149"/>
    <mergeCell ref="F148:F149"/>
    <mergeCell ref="G148:G149"/>
    <mergeCell ref="H148:H149"/>
    <mergeCell ref="E150:E151"/>
    <mergeCell ref="F150:F151"/>
    <mergeCell ref="G150:G151"/>
    <mergeCell ref="H150:H151"/>
    <mergeCell ref="K148:K149"/>
    <mergeCell ref="K150:K151"/>
    <mergeCell ref="L146:L147"/>
    <mergeCell ref="L148:L149"/>
    <mergeCell ref="L150:L151"/>
    <mergeCell ref="M146:M147"/>
    <mergeCell ref="M148:M149"/>
    <mergeCell ref="M150:M151"/>
    <mergeCell ref="N148:N149"/>
    <mergeCell ref="N150:N151"/>
    <mergeCell ref="J148:J149"/>
    <mergeCell ref="W150:W151"/>
    <mergeCell ref="X150:X151"/>
    <mergeCell ref="Y146:Y147"/>
    <mergeCell ref="Z146:Z147"/>
    <mergeCell ref="W148:W149"/>
    <mergeCell ref="X148:X149"/>
    <mergeCell ref="Y148:Y149"/>
    <mergeCell ref="Z148:Z149"/>
    <mergeCell ref="Y150:Y151"/>
    <mergeCell ref="Z150:Z151"/>
    <mergeCell ref="AC146:AC147"/>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53:E154"/>
    <mergeCell ref="F153:F154"/>
    <mergeCell ref="G153:G154"/>
    <mergeCell ref="H153:H154"/>
    <mergeCell ref="M153:M154"/>
    <mergeCell ref="N153:N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L153:L154"/>
    <mergeCell ref="L155:L156"/>
    <mergeCell ref="L159:L160"/>
    <mergeCell ref="M155:M156"/>
    <mergeCell ref="N155:N156"/>
    <mergeCell ref="L157:L158"/>
    <mergeCell ref="M157:M158"/>
    <mergeCell ref="N157:N158"/>
    <mergeCell ref="M159:M160"/>
    <mergeCell ref="N159:N160"/>
    <mergeCell ref="J157:J158"/>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53:K154"/>
    <mergeCell ref="K155:K156"/>
    <mergeCell ref="K159:K160"/>
    <mergeCell ref="K157:K158"/>
    <mergeCell ref="K161:K162"/>
    <mergeCell ref="K163:K164"/>
    <mergeCell ref="K165:K166"/>
    <mergeCell ref="K167:K168"/>
    <mergeCell ref="K169:K170"/>
    <mergeCell ref="K171:K172"/>
    <mergeCell ref="K173:K174"/>
    <mergeCell ref="K175:K176"/>
    <mergeCell ref="K177:K178"/>
    <mergeCell ref="K179:K180"/>
    <mergeCell ref="K181:K182"/>
    <mergeCell ref="K183:K184"/>
    <mergeCell ref="Q161:Q162"/>
    <mergeCell ref="R161:R162"/>
    <mergeCell ref="S153:S154"/>
    <mergeCell ref="T153:T154"/>
    <mergeCell ref="Q155:Q156"/>
    <mergeCell ref="R155:R156"/>
    <mergeCell ref="S155:S156"/>
    <mergeCell ref="T155:T156"/>
    <mergeCell ref="S157:S158"/>
    <mergeCell ref="T157:T158"/>
    <mergeCell ref="Q159:Q160"/>
    <mergeCell ref="R159:R160"/>
    <mergeCell ref="S159:S160"/>
    <mergeCell ref="T159:T160"/>
    <mergeCell ref="S161:S162"/>
    <mergeCell ref="T161:T162"/>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7:Q188"/>
    <mergeCell ref="R187:R188"/>
    <mergeCell ref="S187:S188"/>
    <mergeCell ref="T187:T188"/>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K190:K191"/>
    <mergeCell ref="L190:L191"/>
    <mergeCell ref="M190:M191"/>
    <mergeCell ref="N190:N191"/>
    <mergeCell ref="K192:K193"/>
    <mergeCell ref="L192:L193"/>
    <mergeCell ref="M192:M193"/>
    <mergeCell ref="N192:N193"/>
    <mergeCell ref="Q190:Q191"/>
    <mergeCell ref="R190:R191"/>
    <mergeCell ref="S190:S191"/>
    <mergeCell ref="T190:T191"/>
    <mergeCell ref="Q192:Q193"/>
    <mergeCell ref="R192:R193"/>
    <mergeCell ref="S192:S193"/>
    <mergeCell ref="T192:T193"/>
    <mergeCell ref="W190:W191"/>
    <mergeCell ref="X190:X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0:E191"/>
    <mergeCell ref="F190:F191"/>
    <mergeCell ref="G190:G191"/>
    <mergeCell ref="H190:H191"/>
    <mergeCell ref="E192:E193"/>
    <mergeCell ref="F192:F193"/>
    <mergeCell ref="G192:G193"/>
    <mergeCell ref="H192:H193"/>
    <mergeCell ref="E198:E199"/>
    <mergeCell ref="F198:F199"/>
    <mergeCell ref="G198:G199"/>
    <mergeCell ref="H198:H199"/>
    <mergeCell ref="E200:E201"/>
    <mergeCell ref="F200:F201"/>
    <mergeCell ref="G200:G201"/>
    <mergeCell ref="H200:H20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N213:N214"/>
    <mergeCell ref="K215:K216"/>
    <mergeCell ref="L215:L216"/>
    <mergeCell ref="M215:M216"/>
    <mergeCell ref="N215:N216"/>
    <mergeCell ref="K217:K218"/>
    <mergeCell ref="L217:L218"/>
    <mergeCell ref="M217:M218"/>
    <mergeCell ref="N217:N218"/>
    <mergeCell ref="S213:S214"/>
    <mergeCell ref="T213:T214"/>
    <mergeCell ref="Q215:Q216"/>
    <mergeCell ref="R215:R216"/>
    <mergeCell ref="S215:S216"/>
    <mergeCell ref="T215:T216"/>
    <mergeCell ref="Q217:Q218"/>
    <mergeCell ref="R217:R218"/>
    <mergeCell ref="S217:S218"/>
    <mergeCell ref="T217:T218"/>
    <mergeCell ref="W213:W214"/>
    <mergeCell ref="X213:X214"/>
    <mergeCell ref="W217:W218"/>
    <mergeCell ref="X217:X218"/>
    <mergeCell ref="Q213:Q214"/>
    <mergeCell ref="AF215:AF216"/>
    <mergeCell ref="AC217:AC218"/>
    <mergeCell ref="AD217:AD218"/>
    <mergeCell ref="AE217:AE218"/>
    <mergeCell ref="AF217:AF218"/>
    <mergeCell ref="E213:E214"/>
    <mergeCell ref="F213:F214"/>
    <mergeCell ref="G213:G214"/>
    <mergeCell ref="H213:H214"/>
    <mergeCell ref="E215:E216"/>
    <mergeCell ref="F215:F216"/>
    <mergeCell ref="E217:E218"/>
    <mergeCell ref="F217:F218"/>
    <mergeCell ref="G217:G218"/>
    <mergeCell ref="H217:H218"/>
    <mergeCell ref="K237:K238"/>
    <mergeCell ref="L237:L238"/>
    <mergeCell ref="J217:J218"/>
    <mergeCell ref="J237:J238"/>
    <mergeCell ref="M237:M238"/>
    <mergeCell ref="N237:N238"/>
    <mergeCell ref="S237:S238"/>
    <mergeCell ref="T237:T238"/>
    <mergeCell ref="J215:J216"/>
    <mergeCell ref="P215:P216"/>
    <mergeCell ref="V215:V216"/>
    <mergeCell ref="AB215:AB216"/>
    <mergeCell ref="P237:P238"/>
    <mergeCell ref="V237:V238"/>
    <mergeCell ref="AB237:AB238"/>
    <mergeCell ref="M247:M248"/>
    <mergeCell ref="N247:N248"/>
    <mergeCell ref="K249:K250"/>
    <mergeCell ref="L249:L250"/>
    <mergeCell ref="M249:M250"/>
    <mergeCell ref="N249:N250"/>
    <mergeCell ref="K251:K252"/>
    <mergeCell ref="L251:L252"/>
    <mergeCell ref="M251:M252"/>
    <mergeCell ref="N251:N252"/>
    <mergeCell ref="K253:K254"/>
    <mergeCell ref="L253:L254"/>
    <mergeCell ref="M253:M254"/>
    <mergeCell ref="N253:N254"/>
    <mergeCell ref="Q237:Q238"/>
    <mergeCell ref="R237:R238"/>
    <mergeCell ref="Q241:Q242"/>
    <mergeCell ref="R241:R242"/>
    <mergeCell ref="Q245:Q246"/>
    <mergeCell ref="R245:R246"/>
    <mergeCell ref="Q239:Q240"/>
    <mergeCell ref="R239:R240"/>
    <mergeCell ref="Q253:Q254"/>
    <mergeCell ref="R253:R254"/>
    <mergeCell ref="Y249:Y250"/>
    <mergeCell ref="Z249:Z250"/>
    <mergeCell ref="W251:W252"/>
    <mergeCell ref="X251:X252"/>
    <mergeCell ref="S241:S242"/>
    <mergeCell ref="T241:T242"/>
    <mergeCell ref="Q243:Q244"/>
    <mergeCell ref="R243:R244"/>
    <mergeCell ref="S243:S244"/>
    <mergeCell ref="T243:T244"/>
    <mergeCell ref="S245:S246"/>
    <mergeCell ref="T245:T246"/>
    <mergeCell ref="Q247:Q248"/>
    <mergeCell ref="R247:R248"/>
    <mergeCell ref="S247:S248"/>
    <mergeCell ref="T247:T248"/>
    <mergeCell ref="Q249:Q250"/>
    <mergeCell ref="R249:R250"/>
    <mergeCell ref="S249:S250"/>
    <mergeCell ref="T249:T250"/>
    <mergeCell ref="Q251:Q252"/>
    <mergeCell ref="R251:R252"/>
    <mergeCell ref="S251:S252"/>
    <mergeCell ref="T251:T252"/>
    <mergeCell ref="V245:V246"/>
    <mergeCell ref="AE247:AE248"/>
    <mergeCell ref="AF247:AF248"/>
    <mergeCell ref="AC249:AC250"/>
    <mergeCell ref="AD249:AD250"/>
    <mergeCell ref="S253:S254"/>
    <mergeCell ref="T253:T254"/>
    <mergeCell ref="W237:W238"/>
    <mergeCell ref="X237:X238"/>
    <mergeCell ref="W241:W242"/>
    <mergeCell ref="X241:X242"/>
    <mergeCell ref="W245:W246"/>
    <mergeCell ref="X245:X246"/>
    <mergeCell ref="Y237:Y238"/>
    <mergeCell ref="Z237:Z238"/>
    <mergeCell ref="W239:W240"/>
    <mergeCell ref="X239:X240"/>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W249:W250"/>
    <mergeCell ref="X249:X250"/>
    <mergeCell ref="AC237:AC238"/>
    <mergeCell ref="AD237:AD238"/>
    <mergeCell ref="AC241:AC242"/>
    <mergeCell ref="AD241:AD242"/>
    <mergeCell ref="AC245:AC246"/>
    <mergeCell ref="AD245:AD246"/>
    <mergeCell ref="AE237:AE238"/>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45:AE246"/>
    <mergeCell ref="AF245:AF246"/>
    <mergeCell ref="E237:E238"/>
    <mergeCell ref="E239:E240"/>
    <mergeCell ref="E241:E242"/>
    <mergeCell ref="E243:E244"/>
    <mergeCell ref="E245:E246"/>
    <mergeCell ref="E247:E248"/>
    <mergeCell ref="E249:E250"/>
    <mergeCell ref="E251:E252"/>
    <mergeCell ref="E253:E254"/>
    <mergeCell ref="F237:F238"/>
    <mergeCell ref="G237:G238"/>
    <mergeCell ref="H237:H238"/>
    <mergeCell ref="F239:F240"/>
    <mergeCell ref="G239:G240"/>
    <mergeCell ref="H239:H240"/>
    <mergeCell ref="F241:F242"/>
    <mergeCell ref="G241:G242"/>
    <mergeCell ref="H241:H242"/>
    <mergeCell ref="F243:F244"/>
    <mergeCell ref="G243:G244"/>
    <mergeCell ref="H243:H244"/>
    <mergeCell ref="F245:F246"/>
    <mergeCell ref="G245:G246"/>
    <mergeCell ref="H245:H246"/>
    <mergeCell ref="F247:F248"/>
    <mergeCell ref="G247:G248"/>
    <mergeCell ref="H247:H248"/>
    <mergeCell ref="F249:F250"/>
    <mergeCell ref="G249:G250"/>
    <mergeCell ref="H249:H250"/>
    <mergeCell ref="F251:F252"/>
    <mergeCell ref="G251:G252"/>
    <mergeCell ref="H251:H252"/>
    <mergeCell ref="F253:F254"/>
    <mergeCell ref="G253:G254"/>
    <mergeCell ref="H253:H254"/>
    <mergeCell ref="AE249:AE250"/>
    <mergeCell ref="AF249:AF250"/>
    <mergeCell ref="AC251:AC252"/>
    <mergeCell ref="AD251:AD252"/>
    <mergeCell ref="AE251:AE252"/>
    <mergeCell ref="AF251:AF252"/>
    <mergeCell ref="AC253:AC254"/>
    <mergeCell ref="AD253:AD254"/>
    <mergeCell ref="AE253:AE254"/>
    <mergeCell ref="AF253:AF254"/>
    <mergeCell ref="Y251:Y252"/>
    <mergeCell ref="Z251:Z252"/>
    <mergeCell ref="W253:W254"/>
    <mergeCell ref="X253:X254"/>
    <mergeCell ref="Y253:Y254"/>
    <mergeCell ref="Z253:Z254"/>
    <mergeCell ref="AC247:AC248"/>
    <mergeCell ref="AD247:AD248"/>
  </mergeCells>
  <phoneticPr fontId="21" type="noConversion"/>
  <pageMargins left="0.47" right="0.47" top="0.47" bottom="0.36" header="0.3" footer="0.3"/>
  <pageSetup scale="8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47E62-9026-4264-9580-42F102C83FE1}">
  <sheetPr>
    <pageSetUpPr fitToPage="1"/>
  </sheetPr>
  <dimension ref="A1:AH256"/>
  <sheetViews>
    <sheetView zoomScaleNormal="100" workbookViewId="0">
      <pane xSplit="3" ySplit="12" topLeftCell="D238" activePane="bottomRight" state="frozen"/>
      <selection pane="topRight" activeCell="M1" sqref="M1"/>
      <selection pane="bottomLeft" activeCell="A13" sqref="A13"/>
      <selection pane="bottomRight" activeCell="A8" sqref="A8:R8"/>
    </sheetView>
  </sheetViews>
  <sheetFormatPr defaultColWidth="9.109375" defaultRowHeight="10.199999999999999" x14ac:dyDescent="0.2"/>
  <cols>
    <col min="1" max="1" width="6" style="11" customWidth="1"/>
    <col min="2" max="2" width="22.109375" style="31" customWidth="1"/>
    <col min="3" max="3" width="6.44140625" style="11" customWidth="1"/>
    <col min="4" max="4" width="3.44140625" style="31" customWidth="1"/>
    <col min="5" max="34" width="4.77734375" style="11" customWidth="1"/>
    <col min="35" max="16384" width="9.109375" style="11"/>
  </cols>
  <sheetData>
    <row r="1" spans="1:34" x14ac:dyDescent="0.2">
      <c r="A1" s="9"/>
      <c r="B1" s="10"/>
      <c r="C1" s="9"/>
      <c r="D1" s="10"/>
    </row>
    <row r="2" spans="1:34" x14ac:dyDescent="0.2">
      <c r="A2" s="297" t="s">
        <v>51</v>
      </c>
      <c r="B2" s="297"/>
      <c r="C2" s="297"/>
      <c r="D2" s="269"/>
      <c r="E2" s="269"/>
      <c r="F2" s="269"/>
      <c r="G2" s="269"/>
      <c r="H2" s="269"/>
      <c r="I2" s="269"/>
      <c r="J2" s="269"/>
      <c r="K2" s="269"/>
      <c r="L2" s="269"/>
      <c r="M2" s="269"/>
      <c r="N2" s="269"/>
      <c r="O2" s="269"/>
      <c r="P2" s="269"/>
      <c r="Q2" s="269"/>
      <c r="R2" s="269"/>
      <c r="S2" s="269"/>
      <c r="T2" s="269"/>
    </row>
    <row r="3" spans="1:34" x14ac:dyDescent="0.2">
      <c r="A3" s="297" t="s">
        <v>50</v>
      </c>
      <c r="B3" s="297"/>
      <c r="C3" s="297"/>
      <c r="D3" s="269"/>
      <c r="E3" s="269"/>
      <c r="F3" s="269"/>
      <c r="G3" s="269"/>
      <c r="H3" s="269"/>
      <c r="I3" s="269"/>
      <c r="J3" s="269"/>
      <c r="K3" s="269"/>
      <c r="L3" s="269"/>
      <c r="M3" s="269"/>
      <c r="N3" s="269"/>
    </row>
    <row r="4" spans="1:34" x14ac:dyDescent="0.2">
      <c r="A4" s="297" t="s">
        <v>57</v>
      </c>
      <c r="B4" s="297"/>
      <c r="C4" s="297"/>
      <c r="D4" s="163"/>
    </row>
    <row r="5" spans="1:34" x14ac:dyDescent="0.2">
      <c r="A5" s="271" t="s">
        <v>148</v>
      </c>
      <c r="B5" s="269"/>
      <c r="C5" s="14"/>
      <c r="D5" s="13"/>
      <c r="Q5" s="11" t="s">
        <v>74</v>
      </c>
      <c r="R5" s="15"/>
      <c r="W5" s="11" t="s">
        <v>74</v>
      </c>
      <c r="Y5" s="278"/>
      <c r="AC5" s="11" t="s">
        <v>74</v>
      </c>
    </row>
    <row r="6" spans="1:34" x14ac:dyDescent="0.2">
      <c r="A6" s="271" t="s">
        <v>154</v>
      </c>
      <c r="B6" s="269"/>
      <c r="C6" s="9"/>
      <c r="D6" s="10"/>
      <c r="I6" s="16"/>
      <c r="J6" s="16"/>
      <c r="O6" s="16"/>
      <c r="U6" s="16"/>
      <c r="V6" s="16"/>
      <c r="Y6" s="278"/>
      <c r="AA6" s="16"/>
      <c r="AB6" s="16"/>
      <c r="AG6" s="16"/>
      <c r="AH6" s="16"/>
    </row>
    <row r="7" spans="1:34" x14ac:dyDescent="0.2">
      <c r="A7" s="268"/>
      <c r="B7" s="268"/>
      <c r="C7" s="268"/>
      <c r="D7" s="269"/>
      <c r="E7" s="269"/>
      <c r="F7" s="269"/>
      <c r="G7" s="269"/>
      <c r="H7" s="269"/>
      <c r="I7" s="269"/>
      <c r="J7" s="269"/>
      <c r="K7" s="269"/>
      <c r="L7" s="269"/>
      <c r="M7" s="269"/>
      <c r="N7" s="269"/>
      <c r="O7" s="269"/>
      <c r="P7" s="269"/>
      <c r="Q7" s="269"/>
      <c r="R7" s="269"/>
    </row>
    <row r="8" spans="1:34" x14ac:dyDescent="0.2">
      <c r="A8" s="268" t="s">
        <v>180</v>
      </c>
      <c r="B8" s="268"/>
      <c r="C8" s="268"/>
      <c r="D8" s="269"/>
      <c r="E8" s="269"/>
      <c r="F8" s="269"/>
      <c r="G8" s="269"/>
      <c r="H8" s="269"/>
      <c r="I8" s="269"/>
      <c r="J8" s="269"/>
      <c r="K8" s="269"/>
      <c r="L8" s="269"/>
      <c r="M8" s="269"/>
      <c r="N8" s="269"/>
      <c r="O8" s="269"/>
      <c r="P8" s="269"/>
      <c r="Q8" s="269"/>
      <c r="R8" s="269"/>
    </row>
    <row r="9" spans="1:34" x14ac:dyDescent="0.2">
      <c r="A9" s="9"/>
      <c r="B9" s="10"/>
      <c r="C9" s="9"/>
      <c r="D9" s="10"/>
    </row>
    <row r="10" spans="1:34" ht="20.399999999999999"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18">
        <v>3</v>
      </c>
      <c r="E13" s="22" t="s">
        <v>113</v>
      </c>
      <c r="F13" s="22" t="s">
        <v>114</v>
      </c>
      <c r="G13" s="22" t="s">
        <v>115</v>
      </c>
      <c r="H13" s="22" t="s">
        <v>116</v>
      </c>
      <c r="I13" s="22">
        <v>2026</v>
      </c>
      <c r="J13" s="22"/>
      <c r="K13" s="22" t="s">
        <v>106</v>
      </c>
      <c r="L13" s="22" t="s">
        <v>107</v>
      </c>
      <c r="M13" s="22" t="s">
        <v>108</v>
      </c>
      <c r="N13" s="22" t="s">
        <v>109</v>
      </c>
      <c r="O13" s="22">
        <v>2027</v>
      </c>
      <c r="P13" s="22"/>
      <c r="Q13" s="22" t="s">
        <v>106</v>
      </c>
      <c r="R13" s="22" t="s">
        <v>107</v>
      </c>
      <c r="S13" s="22" t="s">
        <v>108</v>
      </c>
      <c r="T13" s="22" t="s">
        <v>109</v>
      </c>
      <c r="U13" s="22"/>
      <c r="V13" s="22"/>
      <c r="W13" s="22" t="s">
        <v>106</v>
      </c>
      <c r="X13" s="22" t="s">
        <v>107</v>
      </c>
      <c r="Y13" s="22" t="s">
        <v>108</v>
      </c>
      <c r="Z13" s="22" t="s">
        <v>109</v>
      </c>
      <c r="AA13" s="22" t="s">
        <v>110</v>
      </c>
      <c r="AB13" s="22"/>
      <c r="AC13" s="22" t="s">
        <v>106</v>
      </c>
      <c r="AD13" s="22" t="s">
        <v>107</v>
      </c>
      <c r="AE13" s="22" t="s">
        <v>108</v>
      </c>
      <c r="AF13" s="22" t="s">
        <v>109</v>
      </c>
      <c r="AG13" s="22" t="s">
        <v>110</v>
      </c>
      <c r="AH13" s="22"/>
    </row>
    <row r="14" spans="1:34" ht="10.8" thickBot="1" x14ac:dyDescent="0.25">
      <c r="A14" s="17">
        <v>1.1000000000000001</v>
      </c>
      <c r="B14" s="50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289"/>
      <c r="B15" s="284" t="s">
        <v>92</v>
      </c>
      <c r="C15" s="273" t="s">
        <v>6</v>
      </c>
      <c r="D15" s="259"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9"/>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9"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9"/>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9"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9"/>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9"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9"/>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9"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9"/>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9"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9"/>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9"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9"/>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9"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9"/>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9"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9"/>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9"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9"/>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9"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9"/>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9"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9"/>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91" t="s">
        <v>6</v>
      </c>
      <c r="D40" s="259"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91"/>
      <c r="D41" s="259"/>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91" t="s">
        <v>7</v>
      </c>
      <c r="D42" s="259"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91"/>
      <c r="D43" s="259"/>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91" t="s">
        <v>8</v>
      </c>
      <c r="D44" s="259"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91"/>
      <c r="D45" s="259"/>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91" t="s">
        <v>6</v>
      </c>
      <c r="D46" s="259"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91"/>
      <c r="D47" s="259"/>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91" t="s">
        <v>7</v>
      </c>
      <c r="D48" s="259"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91"/>
      <c r="D49" s="259"/>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91" t="s">
        <v>8</v>
      </c>
      <c r="D50" s="259"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91"/>
      <c r="D51" s="259"/>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73" t="s">
        <v>6</v>
      </c>
      <c r="D52" s="259"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73"/>
      <c r="D53" s="259"/>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73" t="s">
        <v>7</v>
      </c>
      <c r="D54" s="259"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73"/>
      <c r="D55" s="259"/>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73" t="s">
        <v>8</v>
      </c>
      <c r="D56" s="259"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73"/>
      <c r="D57" s="259"/>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9"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9"/>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9"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9"/>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9"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9"/>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9"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9"/>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9"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9"/>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9"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9"/>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513"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513"/>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0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0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51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9"/>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9"/>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5" t="s">
        <v>135</v>
      </c>
      <c r="E82" s="35">
        <v>1</v>
      </c>
      <c r="F82" s="35">
        <v>1</v>
      </c>
      <c r="G82" s="35">
        <v>1</v>
      </c>
      <c r="H82" s="35">
        <v>2</v>
      </c>
      <c r="I82" s="35"/>
      <c r="J82" s="35">
        <v>5</v>
      </c>
      <c r="K82" s="35">
        <v>1</v>
      </c>
      <c r="L82" s="35">
        <v>1</v>
      </c>
      <c r="M82" s="35">
        <v>1</v>
      </c>
      <c r="N82" s="35">
        <v>2</v>
      </c>
      <c r="O82" s="36"/>
      <c r="P82" s="35">
        <v>5</v>
      </c>
      <c r="Q82" s="35">
        <v>1</v>
      </c>
      <c r="R82" s="35">
        <v>1</v>
      </c>
      <c r="S82" s="35">
        <v>1</v>
      </c>
      <c r="T82" s="35">
        <v>2</v>
      </c>
      <c r="U82" s="35"/>
      <c r="V82" s="35">
        <v>5</v>
      </c>
      <c r="W82" s="35">
        <v>1</v>
      </c>
      <c r="X82" s="35">
        <v>1</v>
      </c>
      <c r="Y82" s="35">
        <v>1</v>
      </c>
      <c r="Z82" s="35">
        <v>2</v>
      </c>
      <c r="AA82" s="36"/>
      <c r="AB82" s="35">
        <v>5</v>
      </c>
      <c r="AC82" s="35">
        <v>1</v>
      </c>
      <c r="AD82" s="35">
        <v>1</v>
      </c>
      <c r="AE82" s="35">
        <v>1</v>
      </c>
      <c r="AF82" s="35">
        <v>2</v>
      </c>
      <c r="AG82" s="35"/>
      <c r="AH82" s="35">
        <v>5</v>
      </c>
    </row>
    <row r="83" spans="1:34" ht="15.75" customHeight="1" x14ac:dyDescent="0.2">
      <c r="A83" s="289"/>
      <c r="B83" s="284" t="s">
        <v>84</v>
      </c>
      <c r="C83" s="273" t="s">
        <v>6</v>
      </c>
      <c r="D83" s="51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289"/>
      <c r="B84" s="284"/>
      <c r="C84" s="273"/>
      <c r="D84" s="259"/>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51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9"/>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51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9"/>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51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65"/>
      <c r="D90" s="259"/>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73" t="s">
        <v>7</v>
      </c>
      <c r="D91" s="51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65"/>
      <c r="D92" s="259"/>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73" t="s">
        <v>8</v>
      </c>
      <c r="D93" s="51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65"/>
      <c r="D94" s="259"/>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5" t="s">
        <v>135</v>
      </c>
      <c r="E95" s="162">
        <v>2</v>
      </c>
      <c r="F95" s="162">
        <v>2</v>
      </c>
      <c r="G95" s="162">
        <v>2</v>
      </c>
      <c r="H95" s="162">
        <v>4</v>
      </c>
      <c r="I95" s="35"/>
      <c r="J95" s="35">
        <v>10</v>
      </c>
      <c r="K95" s="162">
        <v>2</v>
      </c>
      <c r="L95" s="162">
        <v>2</v>
      </c>
      <c r="M95" s="162">
        <v>2</v>
      </c>
      <c r="N95" s="162">
        <v>4</v>
      </c>
      <c r="O95" s="35"/>
      <c r="P95" s="35">
        <v>10</v>
      </c>
      <c r="Q95" s="162">
        <v>2</v>
      </c>
      <c r="R95" s="162">
        <v>2</v>
      </c>
      <c r="S95" s="162">
        <v>2</v>
      </c>
      <c r="T95" s="162">
        <v>4</v>
      </c>
      <c r="U95" s="35"/>
      <c r="V95" s="35">
        <v>10</v>
      </c>
      <c r="W95" s="162">
        <v>2</v>
      </c>
      <c r="X95" s="162">
        <v>2</v>
      </c>
      <c r="Y95" s="162">
        <v>2</v>
      </c>
      <c r="Z95" s="162">
        <v>4</v>
      </c>
      <c r="AA95" s="162"/>
      <c r="AB95" s="35">
        <v>10</v>
      </c>
      <c r="AC95" s="162">
        <v>2</v>
      </c>
      <c r="AD95" s="162">
        <v>2</v>
      </c>
      <c r="AE95" s="162">
        <v>2</v>
      </c>
      <c r="AF95" s="162">
        <v>4</v>
      </c>
      <c r="AG95" s="35"/>
      <c r="AH95" s="35">
        <v>10</v>
      </c>
    </row>
    <row r="96" spans="1:34" ht="15.75" customHeight="1" x14ac:dyDescent="0.2">
      <c r="A96" s="289"/>
      <c r="B96" s="284" t="s">
        <v>85</v>
      </c>
      <c r="C96" s="273" t="s">
        <v>6</v>
      </c>
      <c r="D96" s="51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9"/>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51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9"/>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51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9"/>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51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9"/>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51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9"/>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51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9"/>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34"/>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5" t="s">
        <v>135</v>
      </c>
      <c r="E109" s="23">
        <v>25</v>
      </c>
      <c r="F109" s="23">
        <v>25</v>
      </c>
      <c r="G109" s="23">
        <v>25</v>
      </c>
      <c r="H109" s="23">
        <v>25</v>
      </c>
      <c r="I109" s="26"/>
      <c r="J109" s="41">
        <v>100</v>
      </c>
      <c r="K109" s="23">
        <v>25</v>
      </c>
      <c r="L109" s="23">
        <v>25</v>
      </c>
      <c r="M109" s="23">
        <v>25</v>
      </c>
      <c r="N109" s="23">
        <v>25</v>
      </c>
      <c r="O109" s="26"/>
      <c r="P109" s="41">
        <v>100</v>
      </c>
      <c r="Q109" s="23">
        <v>25</v>
      </c>
      <c r="R109" s="23">
        <v>25</v>
      </c>
      <c r="S109" s="23">
        <v>25</v>
      </c>
      <c r="T109" s="23">
        <v>25</v>
      </c>
      <c r="U109" s="26"/>
      <c r="V109" s="41">
        <v>100</v>
      </c>
      <c r="W109" s="23">
        <v>25</v>
      </c>
      <c r="X109" s="23">
        <v>25</v>
      </c>
      <c r="Y109" s="23">
        <v>25</v>
      </c>
      <c r="Z109" s="23">
        <v>25</v>
      </c>
      <c r="AA109" s="26"/>
      <c r="AB109" s="41">
        <v>100</v>
      </c>
      <c r="AC109" s="23">
        <v>25</v>
      </c>
      <c r="AD109" s="23">
        <v>25</v>
      </c>
      <c r="AE109" s="23">
        <v>25</v>
      </c>
      <c r="AF109" s="23">
        <v>25</v>
      </c>
      <c r="AG109" s="26"/>
      <c r="AH109" s="41">
        <v>100</v>
      </c>
    </row>
    <row r="110" spans="1:34" x14ac:dyDescent="0.2">
      <c r="A110" s="273"/>
      <c r="B110" s="450" t="s">
        <v>99</v>
      </c>
      <c r="C110" s="479"/>
      <c r="D110" s="51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9"/>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51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9"/>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51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9"/>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51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9"/>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51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9"/>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51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9"/>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51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9"/>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51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55">
        <v>5.0000000000000001E-3</v>
      </c>
      <c r="Q125" s="255">
        <v>5.0000000000000001E-3</v>
      </c>
      <c r="R125" s="255">
        <v>5.0000000000000001E-3</v>
      </c>
      <c r="S125" s="255">
        <v>5.0000000000000001E-3</v>
      </c>
      <c r="T125" s="255">
        <v>5.0000000000000001E-3</v>
      </c>
      <c r="U125" s="26"/>
      <c r="V125" s="255">
        <v>5.0000000000000001E-3</v>
      </c>
      <c r="W125" s="255">
        <v>5.0000000000000001E-3</v>
      </c>
      <c r="X125" s="255">
        <v>5.0000000000000001E-3</v>
      </c>
      <c r="Y125" s="255">
        <v>5.0000000000000001E-3</v>
      </c>
      <c r="Z125" s="255">
        <v>5.0000000000000001E-3</v>
      </c>
      <c r="AA125" s="26"/>
      <c r="AB125" s="255">
        <v>5.0000000000000001E-3</v>
      </c>
      <c r="AC125" s="255">
        <v>5.0000000000000001E-3</v>
      </c>
      <c r="AD125" s="255">
        <v>5.0000000000000001E-3</v>
      </c>
      <c r="AE125" s="255">
        <v>5.0000000000000001E-3</v>
      </c>
      <c r="AF125" s="255">
        <v>5.0000000000000001E-3</v>
      </c>
      <c r="AG125" s="26"/>
      <c r="AH125" s="255">
        <v>5.0000000000000001E-3</v>
      </c>
    </row>
    <row r="126" spans="1:34" ht="15.75" customHeight="1" x14ac:dyDescent="0.2">
      <c r="A126" s="289"/>
      <c r="B126" s="284"/>
      <c r="C126" s="273"/>
      <c r="D126" s="259"/>
      <c r="E126" s="256"/>
      <c r="F126" s="256"/>
      <c r="G126" s="256"/>
      <c r="H126" s="256"/>
      <c r="I126" s="26"/>
      <c r="J126" s="256"/>
      <c r="K126" s="256"/>
      <c r="L126" s="256"/>
      <c r="M126" s="256"/>
      <c r="N126" s="256"/>
      <c r="O126" s="26"/>
      <c r="P126" s="256"/>
      <c r="Q126" s="256"/>
      <c r="R126" s="256"/>
      <c r="S126" s="256"/>
      <c r="T126" s="256"/>
      <c r="U126" s="26"/>
      <c r="V126" s="256"/>
      <c r="W126" s="256"/>
      <c r="X126" s="256"/>
      <c r="Y126" s="256"/>
      <c r="Z126" s="256"/>
      <c r="AA126" s="26"/>
      <c r="AB126" s="256"/>
      <c r="AC126" s="258"/>
      <c r="AD126" s="258"/>
      <c r="AE126" s="258"/>
      <c r="AF126" s="258"/>
      <c r="AG126" s="26"/>
      <c r="AH126" s="258"/>
    </row>
    <row r="127" spans="1:34" ht="15.75" customHeight="1" x14ac:dyDescent="0.2">
      <c r="A127" s="289"/>
      <c r="B127" s="284"/>
      <c r="C127" s="273" t="s">
        <v>7</v>
      </c>
      <c r="D127" s="51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5">
        <v>0.02</v>
      </c>
      <c r="AD127" s="255">
        <v>0.02</v>
      </c>
      <c r="AE127" s="255">
        <v>0.02</v>
      </c>
      <c r="AF127" s="255">
        <v>0.02</v>
      </c>
      <c r="AG127" s="26"/>
      <c r="AH127" s="255">
        <v>0.02</v>
      </c>
    </row>
    <row r="128" spans="1:34" ht="15.75" customHeight="1" x14ac:dyDescent="0.2">
      <c r="A128" s="289"/>
      <c r="B128" s="284"/>
      <c r="C128" s="273"/>
      <c r="D128" s="259"/>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8"/>
      <c r="AD128" s="258"/>
      <c r="AE128" s="258"/>
      <c r="AF128" s="258"/>
      <c r="AG128" s="26"/>
      <c r="AH128" s="258"/>
    </row>
    <row r="129" spans="1:34" ht="15.75" customHeight="1" x14ac:dyDescent="0.2">
      <c r="A129" s="289"/>
      <c r="B129" s="284"/>
      <c r="C129" s="273" t="s">
        <v>8</v>
      </c>
      <c r="D129" s="51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5">
        <v>1.4999999999999999E-2</v>
      </c>
      <c r="AD129" s="255">
        <v>1.4999999999999999E-2</v>
      </c>
      <c r="AE129" s="255">
        <v>1.4999999999999999E-2</v>
      </c>
      <c r="AF129" s="255">
        <v>1.4999999999999999E-2</v>
      </c>
      <c r="AG129" s="26"/>
      <c r="AH129" s="255">
        <v>1.4999999999999999E-2</v>
      </c>
    </row>
    <row r="130" spans="1:34" ht="15.75" customHeight="1" x14ac:dyDescent="0.2">
      <c r="A130" s="289"/>
      <c r="B130" s="284"/>
      <c r="C130" s="273"/>
      <c r="D130" s="259"/>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8"/>
      <c r="AD130" s="258"/>
      <c r="AE130" s="258"/>
      <c r="AF130" s="258"/>
      <c r="AG130" s="26"/>
      <c r="AH130" s="258"/>
    </row>
    <row r="131" spans="1:34" ht="15.75" customHeight="1" x14ac:dyDescent="0.2">
      <c r="A131" s="289"/>
      <c r="B131" s="284" t="s">
        <v>138</v>
      </c>
      <c r="C131" s="273" t="s">
        <v>26</v>
      </c>
      <c r="D131" s="51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5">
        <v>5.0000000000000001E-3</v>
      </c>
      <c r="AD131" s="255">
        <v>5.0000000000000001E-3</v>
      </c>
      <c r="AE131" s="255">
        <v>5.0000000000000001E-3</v>
      </c>
      <c r="AF131" s="255">
        <v>5.0000000000000001E-3</v>
      </c>
      <c r="AG131" s="26"/>
      <c r="AH131" s="255">
        <v>5.0000000000000001E-3</v>
      </c>
    </row>
    <row r="132" spans="1:34" ht="15.75" customHeight="1" x14ac:dyDescent="0.2">
      <c r="A132" s="289"/>
      <c r="B132" s="284"/>
      <c r="C132" s="273"/>
      <c r="D132" s="259"/>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8"/>
      <c r="AD132" s="258"/>
      <c r="AE132" s="258"/>
      <c r="AF132" s="258"/>
      <c r="AG132" s="26"/>
      <c r="AH132" s="258"/>
    </row>
    <row r="133" spans="1:34" ht="15.75" customHeight="1" x14ac:dyDescent="0.2">
      <c r="A133" s="289"/>
      <c r="B133" s="284"/>
      <c r="C133" s="273" t="s">
        <v>7</v>
      </c>
      <c r="D133" s="51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46">
        <v>0.02</v>
      </c>
      <c r="AD133" s="246">
        <v>0.02</v>
      </c>
      <c r="AE133" s="246">
        <v>0.02</v>
      </c>
      <c r="AF133" s="246">
        <v>0.02</v>
      </c>
      <c r="AG133" s="26"/>
      <c r="AH133" s="246">
        <v>0.02</v>
      </c>
    </row>
    <row r="134" spans="1:34" ht="15.75" customHeight="1" x14ac:dyDescent="0.2">
      <c r="A134" s="289"/>
      <c r="B134" s="284"/>
      <c r="C134" s="273"/>
      <c r="D134" s="259"/>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47"/>
      <c r="AD134" s="247"/>
      <c r="AE134" s="247"/>
      <c r="AF134" s="247"/>
      <c r="AG134" s="26"/>
      <c r="AH134" s="247"/>
    </row>
    <row r="135" spans="1:34" ht="15.75" customHeight="1" x14ac:dyDescent="0.2">
      <c r="A135" s="289"/>
      <c r="B135" s="284"/>
      <c r="C135" s="273" t="s">
        <v>8</v>
      </c>
      <c r="D135" s="51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5">
        <v>1.4999999999999999E-2</v>
      </c>
      <c r="AD135" s="255">
        <v>1.4999999999999999E-2</v>
      </c>
      <c r="AE135" s="255">
        <v>1.4999999999999999E-2</v>
      </c>
      <c r="AF135" s="255">
        <v>1.4999999999999999E-2</v>
      </c>
      <c r="AG135" s="26"/>
      <c r="AH135" s="255">
        <v>1.4999999999999999E-2</v>
      </c>
    </row>
    <row r="136" spans="1:34" ht="15.75" customHeight="1" x14ac:dyDescent="0.2">
      <c r="A136" s="289"/>
      <c r="B136" s="284"/>
      <c r="C136" s="273"/>
      <c r="D136" s="259"/>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8"/>
      <c r="AD136" s="258"/>
      <c r="AE136" s="258"/>
      <c r="AF136" s="258"/>
      <c r="AG136" s="26"/>
      <c r="AH136" s="258"/>
    </row>
    <row r="137" spans="1:34" ht="15.75" customHeight="1" x14ac:dyDescent="0.2">
      <c r="A137" s="289"/>
      <c r="B137" s="284" t="s">
        <v>87</v>
      </c>
      <c r="C137" s="291" t="s">
        <v>6</v>
      </c>
      <c r="D137" s="51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5">
        <v>2.0000000000000001E-4</v>
      </c>
      <c r="AD137" s="255">
        <v>2.0000000000000001E-4</v>
      </c>
      <c r="AE137" s="255">
        <v>2.0000000000000001E-4</v>
      </c>
      <c r="AF137" s="255">
        <v>2.0000000000000001E-4</v>
      </c>
      <c r="AG137" s="26"/>
      <c r="AH137" s="255">
        <v>2.0000000000000001E-4</v>
      </c>
    </row>
    <row r="138" spans="1:34" ht="15.75" customHeight="1" x14ac:dyDescent="0.2">
      <c r="A138" s="289"/>
      <c r="B138" s="284"/>
      <c r="C138" s="291"/>
      <c r="D138" s="259"/>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8"/>
      <c r="AD138" s="258"/>
      <c r="AE138" s="258"/>
      <c r="AF138" s="258"/>
      <c r="AG138" s="26"/>
      <c r="AH138" s="258"/>
    </row>
    <row r="139" spans="1:34" ht="15.75" customHeight="1" x14ac:dyDescent="0.2">
      <c r="A139" s="289"/>
      <c r="B139" s="284"/>
      <c r="C139" s="291" t="s">
        <v>7</v>
      </c>
      <c r="D139" s="51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46">
        <v>0.01</v>
      </c>
      <c r="AD139" s="246">
        <v>0.01</v>
      </c>
      <c r="AE139" s="246">
        <v>0.01</v>
      </c>
      <c r="AF139" s="246">
        <v>0.01</v>
      </c>
      <c r="AG139" s="26"/>
      <c r="AH139" s="246">
        <v>0.01</v>
      </c>
    </row>
    <row r="140" spans="1:34" ht="15.75" customHeight="1" x14ac:dyDescent="0.2">
      <c r="A140" s="289"/>
      <c r="B140" s="284"/>
      <c r="C140" s="291"/>
      <c r="D140" s="259"/>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47"/>
      <c r="AD140" s="247"/>
      <c r="AE140" s="247"/>
      <c r="AF140" s="247"/>
      <c r="AG140" s="26"/>
      <c r="AH140" s="247"/>
    </row>
    <row r="141" spans="1:34" ht="15.75" customHeight="1" x14ac:dyDescent="0.2">
      <c r="A141" s="289"/>
      <c r="B141" s="284"/>
      <c r="C141" s="291" t="s">
        <v>8</v>
      </c>
      <c r="D141" s="51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5">
        <v>5.0000000000000001E-3</v>
      </c>
      <c r="AD141" s="255">
        <v>5.0000000000000001E-3</v>
      </c>
      <c r="AE141" s="255">
        <v>5.0000000000000001E-3</v>
      </c>
      <c r="AF141" s="255">
        <v>5.0000000000000001E-3</v>
      </c>
      <c r="AG141" s="26"/>
      <c r="AH141" s="255">
        <v>5.0000000000000001E-3</v>
      </c>
    </row>
    <row r="142" spans="1:34" ht="15.75" customHeight="1" x14ac:dyDescent="0.2">
      <c r="A142" s="289"/>
      <c r="B142" s="284"/>
      <c r="C142" s="291"/>
      <c r="D142" s="259"/>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8"/>
      <c r="AD142" s="258"/>
      <c r="AE142" s="258"/>
      <c r="AF142" s="258"/>
      <c r="AG142" s="26"/>
      <c r="AH142" s="258"/>
    </row>
    <row r="143" spans="1:34" x14ac:dyDescent="0.2">
      <c r="A143" s="289"/>
      <c r="B143" s="284" t="s">
        <v>139</v>
      </c>
      <c r="C143" s="49" t="s">
        <v>6</v>
      </c>
      <c r="D143" s="25"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49" t="s">
        <v>7</v>
      </c>
      <c r="D144" s="25"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49" t="s">
        <v>8</v>
      </c>
      <c r="D145" s="25"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51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x14ac:dyDescent="0.2">
      <c r="A147" s="289"/>
      <c r="B147" s="284"/>
      <c r="C147" s="273"/>
      <c r="D147" s="259"/>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ht="15.75" customHeight="1" x14ac:dyDescent="0.2">
      <c r="A148" s="289"/>
      <c r="B148" s="284"/>
      <c r="C148" s="291" t="s">
        <v>7</v>
      </c>
      <c r="D148" s="51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ht="15.75" customHeight="1" x14ac:dyDescent="0.2">
      <c r="A149" s="289"/>
      <c r="B149" s="284"/>
      <c r="C149" s="291"/>
      <c r="D149" s="259"/>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ht="15.75" customHeight="1" x14ac:dyDescent="0.2">
      <c r="A150" s="289"/>
      <c r="B150" s="284"/>
      <c r="C150" s="273" t="s">
        <v>8</v>
      </c>
      <c r="D150" s="51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x14ac:dyDescent="0.2">
      <c r="A151" s="289"/>
      <c r="B151" s="284"/>
      <c r="C151" s="273"/>
      <c r="D151" s="259"/>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448" t="s">
        <v>27</v>
      </c>
      <c r="C152" s="448"/>
      <c r="D152" s="265"/>
      <c r="E152" s="265"/>
      <c r="F152" s="265"/>
      <c r="G152" s="265"/>
      <c r="H152" s="265"/>
      <c r="I152" s="265"/>
      <c r="J152" s="265"/>
      <c r="K152" s="265"/>
      <c r="L152" s="265"/>
      <c r="M152" s="265"/>
      <c r="N152" s="265"/>
      <c r="O152" s="265"/>
      <c r="P152" s="265"/>
      <c r="Q152" s="265"/>
      <c r="R152" s="265"/>
      <c r="S152" s="265"/>
      <c r="T152" s="265"/>
      <c r="U152" s="265"/>
      <c r="V152" s="265"/>
      <c r="W152" s="265"/>
      <c r="X152" s="265"/>
      <c r="Y152" s="265"/>
      <c r="Z152" s="265"/>
      <c r="AA152" s="265"/>
      <c r="AB152" s="265"/>
      <c r="AC152" s="265"/>
      <c r="AD152" s="265"/>
      <c r="AE152" s="265"/>
      <c r="AF152" s="265"/>
      <c r="AG152" s="265"/>
      <c r="AH152" s="265"/>
    </row>
    <row r="153" spans="1:34" ht="15.75" customHeight="1" x14ac:dyDescent="0.2">
      <c r="A153" s="273"/>
      <c r="B153" s="284" t="s">
        <v>126</v>
      </c>
      <c r="C153" s="273" t="s">
        <v>26</v>
      </c>
      <c r="D153" s="51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9"/>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51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9"/>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51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9"/>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512" t="s">
        <v>78</v>
      </c>
      <c r="E159" s="252">
        <v>0</v>
      </c>
      <c r="F159" s="252">
        <v>0</v>
      </c>
      <c r="G159" s="252">
        <v>0</v>
      </c>
      <c r="H159" s="252">
        <v>0</v>
      </c>
      <c r="I159" s="26"/>
      <c r="J159" s="252">
        <v>0</v>
      </c>
      <c r="K159" s="252">
        <v>0</v>
      </c>
      <c r="L159" s="252">
        <v>0</v>
      </c>
      <c r="M159" s="252">
        <v>0</v>
      </c>
      <c r="N159" s="252">
        <v>0</v>
      </c>
      <c r="O159" s="26"/>
      <c r="P159" s="252">
        <v>0</v>
      </c>
      <c r="Q159" s="252">
        <v>0</v>
      </c>
      <c r="R159" s="252">
        <v>0</v>
      </c>
      <c r="S159" s="252">
        <v>0</v>
      </c>
      <c r="T159" s="252">
        <v>0</v>
      </c>
      <c r="U159" s="26"/>
      <c r="V159" s="252">
        <v>0</v>
      </c>
      <c r="W159" s="252">
        <v>0</v>
      </c>
      <c r="X159" s="252">
        <v>0</v>
      </c>
      <c r="Y159" s="252">
        <v>0</v>
      </c>
      <c r="Z159" s="252">
        <v>0</v>
      </c>
      <c r="AA159" s="26"/>
      <c r="AB159" s="252">
        <v>0.01</v>
      </c>
      <c r="AC159" s="252">
        <v>0.01</v>
      </c>
      <c r="AD159" s="252">
        <v>0.01</v>
      </c>
      <c r="AE159" s="252">
        <v>0.01</v>
      </c>
      <c r="AF159" s="252">
        <v>0.01</v>
      </c>
      <c r="AG159" s="26"/>
      <c r="AH159" s="252">
        <v>0.01</v>
      </c>
    </row>
    <row r="160" spans="1:34" ht="15.75" customHeight="1" x14ac:dyDescent="0.2">
      <c r="A160" s="273"/>
      <c r="B160" s="284"/>
      <c r="C160" s="273"/>
      <c r="D160" s="259"/>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512" t="s">
        <v>78</v>
      </c>
      <c r="E161" s="252">
        <v>0</v>
      </c>
      <c r="F161" s="252">
        <v>0</v>
      </c>
      <c r="G161" s="252">
        <v>0</v>
      </c>
      <c r="H161" s="252">
        <v>0</v>
      </c>
      <c r="I161" s="26"/>
      <c r="J161" s="252">
        <v>0</v>
      </c>
      <c r="K161" s="252">
        <v>0</v>
      </c>
      <c r="L161" s="252">
        <v>0</v>
      </c>
      <c r="M161" s="252">
        <v>0</v>
      </c>
      <c r="N161" s="252">
        <v>0</v>
      </c>
      <c r="O161" s="26"/>
      <c r="P161" s="252">
        <v>0</v>
      </c>
      <c r="Q161" s="252">
        <v>0</v>
      </c>
      <c r="R161" s="252">
        <v>0</v>
      </c>
      <c r="S161" s="252">
        <v>0</v>
      </c>
      <c r="T161" s="252">
        <v>0</v>
      </c>
      <c r="U161" s="26"/>
      <c r="V161" s="252">
        <v>0</v>
      </c>
      <c r="W161" s="252">
        <v>0</v>
      </c>
      <c r="X161" s="252">
        <v>0</v>
      </c>
      <c r="Y161" s="252">
        <v>0</v>
      </c>
      <c r="Z161" s="252">
        <v>0</v>
      </c>
      <c r="AA161" s="26"/>
      <c r="AB161" s="252">
        <v>0.01</v>
      </c>
      <c r="AC161" s="252">
        <v>0.01</v>
      </c>
      <c r="AD161" s="252">
        <v>0.01</v>
      </c>
      <c r="AE161" s="252">
        <v>0.01</v>
      </c>
      <c r="AF161" s="252">
        <v>0.01</v>
      </c>
      <c r="AG161" s="26"/>
      <c r="AH161" s="252">
        <v>0.01</v>
      </c>
    </row>
    <row r="162" spans="1:34" ht="15.75" customHeight="1" x14ac:dyDescent="0.2">
      <c r="A162" s="273"/>
      <c r="B162" s="284"/>
      <c r="C162" s="273"/>
      <c r="D162" s="259"/>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512" t="s">
        <v>78</v>
      </c>
      <c r="E163" s="252">
        <v>0</v>
      </c>
      <c r="F163" s="252">
        <v>0</v>
      </c>
      <c r="G163" s="252">
        <v>0</v>
      </c>
      <c r="H163" s="252">
        <v>0</v>
      </c>
      <c r="I163" s="26"/>
      <c r="J163" s="252">
        <v>0</v>
      </c>
      <c r="K163" s="252">
        <v>0</v>
      </c>
      <c r="L163" s="252">
        <v>0</v>
      </c>
      <c r="M163" s="252">
        <v>0</v>
      </c>
      <c r="N163" s="252">
        <v>0</v>
      </c>
      <c r="O163" s="26"/>
      <c r="P163" s="252">
        <v>0</v>
      </c>
      <c r="Q163" s="252">
        <v>0</v>
      </c>
      <c r="R163" s="252">
        <v>0</v>
      </c>
      <c r="S163" s="252">
        <v>0</v>
      </c>
      <c r="T163" s="252">
        <v>0</v>
      </c>
      <c r="U163" s="26"/>
      <c r="V163" s="252">
        <v>0</v>
      </c>
      <c r="W163" s="252">
        <v>0</v>
      </c>
      <c r="X163" s="252">
        <v>0</v>
      </c>
      <c r="Y163" s="252">
        <v>0</v>
      </c>
      <c r="Z163" s="252">
        <v>0</v>
      </c>
      <c r="AA163" s="26"/>
      <c r="AB163" s="252">
        <v>0.01</v>
      </c>
      <c r="AC163" s="252">
        <v>0.01</v>
      </c>
      <c r="AD163" s="252">
        <v>0.01</v>
      </c>
      <c r="AE163" s="252">
        <v>0.01</v>
      </c>
      <c r="AF163" s="252">
        <v>0.01</v>
      </c>
      <c r="AG163" s="26"/>
      <c r="AH163" s="252">
        <v>0.01</v>
      </c>
    </row>
    <row r="164" spans="1:34" ht="15.75" customHeight="1" x14ac:dyDescent="0.2">
      <c r="A164" s="273"/>
      <c r="B164" s="284"/>
      <c r="C164" s="273"/>
      <c r="D164" s="259"/>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51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9"/>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51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9"/>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51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9"/>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91" t="s">
        <v>6</v>
      </c>
      <c r="D171" s="51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91"/>
      <c r="D172" s="259"/>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91" t="s">
        <v>7</v>
      </c>
      <c r="D173" s="51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91"/>
      <c r="D174" s="259"/>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91" t="s">
        <v>8</v>
      </c>
      <c r="D175" s="51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91"/>
      <c r="D176" s="259"/>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91" t="s">
        <v>6</v>
      </c>
      <c r="D177" s="51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91"/>
      <c r="D178" s="259"/>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91" t="s">
        <v>7</v>
      </c>
      <c r="D179" s="51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91"/>
      <c r="D180" s="259"/>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91" t="s">
        <v>8</v>
      </c>
      <c r="D181" s="51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91"/>
      <c r="D182" s="259"/>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7.25" customHeight="1" x14ac:dyDescent="0.2">
      <c r="A183" s="273"/>
      <c r="B183" s="284" t="s">
        <v>89</v>
      </c>
      <c r="C183" s="291" t="s">
        <v>6</v>
      </c>
      <c r="D183" s="51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91"/>
      <c r="D184" s="259"/>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91" t="s">
        <v>7</v>
      </c>
      <c r="D185" s="51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91"/>
      <c r="D186" s="259"/>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91" t="s">
        <v>8</v>
      </c>
      <c r="D187" s="51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91"/>
      <c r="D188" s="259"/>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51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9"/>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51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9"/>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x14ac:dyDescent="0.2">
      <c r="A196" s="289"/>
      <c r="B196" s="288" t="s">
        <v>142</v>
      </c>
      <c r="C196" s="288"/>
      <c r="D196" s="291" t="s">
        <v>78</v>
      </c>
      <c r="E196" s="254">
        <v>0.45860000000000001</v>
      </c>
      <c r="F196" s="254">
        <v>0.45860000000000001</v>
      </c>
      <c r="G196" s="254">
        <v>0.45860000000000001</v>
      </c>
      <c r="H196" s="254">
        <v>0.45860000000000001</v>
      </c>
      <c r="I196" s="45"/>
      <c r="J196" s="254">
        <v>0.45860000000000001</v>
      </c>
      <c r="K196" s="254">
        <v>0.43859999999999999</v>
      </c>
      <c r="L196" s="254">
        <v>0.43859999999999999</v>
      </c>
      <c r="M196" s="254">
        <v>0.43859999999999999</v>
      </c>
      <c r="N196" s="254">
        <v>0.43859999999999999</v>
      </c>
      <c r="O196" s="45"/>
      <c r="P196" s="254">
        <v>0.43859999999999999</v>
      </c>
      <c r="Q196" s="254">
        <v>0.41860000000000003</v>
      </c>
      <c r="R196" s="254">
        <v>0.41860000000000003</v>
      </c>
      <c r="S196" s="254">
        <v>0.41860000000000003</v>
      </c>
      <c r="T196" s="254">
        <v>0.41860000000000003</v>
      </c>
      <c r="U196" s="45"/>
      <c r="V196" s="254">
        <v>0.41860000000000003</v>
      </c>
      <c r="W196" s="254">
        <v>0.39860000000000001</v>
      </c>
      <c r="X196" s="254">
        <v>0.39860000000000001</v>
      </c>
      <c r="Y196" s="254">
        <v>0.39860000000000001</v>
      </c>
      <c r="Z196" s="254">
        <v>0.39860000000000001</v>
      </c>
      <c r="AA196" s="45"/>
      <c r="AB196" s="254">
        <v>0.39860000000000001</v>
      </c>
      <c r="AC196" s="254">
        <v>0.13</v>
      </c>
      <c r="AD196" s="254">
        <v>0.13</v>
      </c>
      <c r="AE196" s="254">
        <v>0.13</v>
      </c>
      <c r="AF196" s="254">
        <v>0.13</v>
      </c>
      <c r="AG196" s="29"/>
      <c r="AH196" s="254">
        <v>0.13</v>
      </c>
    </row>
    <row r="197" spans="1:34" ht="24" customHeight="1" x14ac:dyDescent="0.2">
      <c r="A197" s="289"/>
      <c r="B197" s="288"/>
      <c r="C197" s="288"/>
      <c r="D197" s="291"/>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x14ac:dyDescent="0.2">
      <c r="A198" s="289"/>
      <c r="B198" s="296" t="s">
        <v>146</v>
      </c>
      <c r="C198" s="296"/>
      <c r="D198" s="291"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11.3/(11.3+3.22+12.901)</f>
        <v>0.41209292148353455</v>
      </c>
      <c r="X198" s="252">
        <f>11.3/(11.3+3.22+12.901)</f>
        <v>0.41209292148353455</v>
      </c>
      <c r="Y198" s="252">
        <f>11.3/(11.3+3.22+12.901)</f>
        <v>0.41209292148353455</v>
      </c>
      <c r="Z198" s="252">
        <f>11.3/(11.3+3.22+12.901)</f>
        <v>0.41209292148353455</v>
      </c>
      <c r="AA198" s="19"/>
      <c r="AB198" s="252">
        <f>11.3/(11.3+3.22+12.901)</f>
        <v>0.41209292148353455</v>
      </c>
      <c r="AC198" s="252">
        <v>1</v>
      </c>
      <c r="AD198" s="252">
        <v>1</v>
      </c>
      <c r="AE198" s="252">
        <v>1</v>
      </c>
      <c r="AF198" s="252">
        <v>1</v>
      </c>
      <c r="AG198" s="19"/>
      <c r="AH198" s="252">
        <v>1</v>
      </c>
    </row>
    <row r="199" spans="1:34" ht="26.25" customHeight="1" x14ac:dyDescent="0.2">
      <c r="A199" s="289"/>
      <c r="B199" s="296"/>
      <c r="C199" s="296"/>
      <c r="D199" s="291"/>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 customHeight="1" x14ac:dyDescent="0.2">
      <c r="A200" s="289"/>
      <c r="B200" s="296" t="s">
        <v>147</v>
      </c>
      <c r="C200" s="296"/>
      <c r="D200" s="25" t="s">
        <v>100</v>
      </c>
      <c r="E200" s="250">
        <v>0.2</v>
      </c>
      <c r="F200" s="250">
        <v>0.2</v>
      </c>
      <c r="G200" s="250">
        <v>0.2</v>
      </c>
      <c r="H200" s="250">
        <v>0.2</v>
      </c>
      <c r="I200" s="26"/>
      <c r="J200" s="250">
        <v>0.2</v>
      </c>
      <c r="K200" s="250">
        <v>0.2</v>
      </c>
      <c r="L200" s="250">
        <v>0.2</v>
      </c>
      <c r="M200" s="250">
        <v>0.2</v>
      </c>
      <c r="N200" s="250">
        <v>0.2</v>
      </c>
      <c r="O200" s="26"/>
      <c r="P200" s="250">
        <v>0.2</v>
      </c>
      <c r="Q200" s="250">
        <v>0.2</v>
      </c>
      <c r="R200" s="250">
        <v>0.2</v>
      </c>
      <c r="S200" s="250">
        <v>0.2</v>
      </c>
      <c r="T200" s="250">
        <v>0.2</v>
      </c>
      <c r="U200" s="26"/>
      <c r="V200" s="250">
        <v>0.2</v>
      </c>
      <c r="W200" s="250">
        <v>0.2</v>
      </c>
      <c r="X200" s="250">
        <v>0.2</v>
      </c>
      <c r="Y200" s="250">
        <v>0.2</v>
      </c>
      <c r="Z200" s="250">
        <v>0.2</v>
      </c>
      <c r="AA200" s="26"/>
      <c r="AB200" s="250">
        <v>0.2</v>
      </c>
      <c r="AC200" s="250">
        <v>0.2</v>
      </c>
      <c r="AD200" s="250">
        <v>0.2</v>
      </c>
      <c r="AE200" s="250">
        <v>0.2</v>
      </c>
      <c r="AF200" s="250">
        <v>0.2</v>
      </c>
      <c r="AG200" s="26"/>
      <c r="AH200" s="250">
        <v>0.2</v>
      </c>
    </row>
    <row r="201" spans="1:34" ht="26.25" customHeight="1" x14ac:dyDescent="0.2">
      <c r="A201" s="289"/>
      <c r="B201" s="296"/>
      <c r="C201" s="296"/>
      <c r="D201" s="210"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91" t="s">
        <v>78</v>
      </c>
      <c r="E202" s="249">
        <v>1</v>
      </c>
      <c r="F202" s="249">
        <v>1</v>
      </c>
      <c r="G202" s="249">
        <v>1</v>
      </c>
      <c r="H202" s="249">
        <v>1</v>
      </c>
      <c r="I202" s="26"/>
      <c r="J202" s="249">
        <v>1</v>
      </c>
      <c r="K202" s="249">
        <v>1</v>
      </c>
      <c r="L202" s="249">
        <v>1</v>
      </c>
      <c r="M202" s="249">
        <v>1</v>
      </c>
      <c r="N202" s="249">
        <v>1</v>
      </c>
      <c r="O202" s="26"/>
      <c r="P202" s="249">
        <v>1</v>
      </c>
      <c r="Q202" s="250">
        <v>0.2</v>
      </c>
      <c r="R202" s="250">
        <v>0.2</v>
      </c>
      <c r="S202" s="250">
        <v>0.2</v>
      </c>
      <c r="T202" s="250">
        <v>0.2</v>
      </c>
      <c r="U202" s="26"/>
      <c r="V202" s="250">
        <v>0.2</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91"/>
      <c r="E203" s="249"/>
      <c r="F203" s="249"/>
      <c r="G203" s="249"/>
      <c r="H203" s="249"/>
      <c r="I203" s="26"/>
      <c r="J203" s="249"/>
      <c r="K203" s="249"/>
      <c r="L203" s="249"/>
      <c r="M203" s="249"/>
      <c r="N203" s="249"/>
      <c r="O203" s="26"/>
      <c r="P203" s="249"/>
      <c r="Q203" s="251"/>
      <c r="R203" s="251"/>
      <c r="S203" s="251"/>
      <c r="T203" s="251"/>
      <c r="U203" s="26"/>
      <c r="V203" s="251"/>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91"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91"/>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91"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91"/>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91" t="s">
        <v>78</v>
      </c>
      <c r="E208" s="249">
        <f>11.3/60.85</f>
        <v>0.18570254724732951</v>
      </c>
      <c r="F208" s="249">
        <f>11.3/60.85</f>
        <v>0.18570254724732951</v>
      </c>
      <c r="G208" s="249">
        <f>11.3/60.85</f>
        <v>0.18570254724732951</v>
      </c>
      <c r="H208" s="249">
        <f>11.3/60.85</f>
        <v>0.18570254724732951</v>
      </c>
      <c r="I208" s="19"/>
      <c r="J208" s="249">
        <f>11.3/60.85</f>
        <v>0.18570254724732951</v>
      </c>
      <c r="K208" s="249">
        <f>11.3/60.85</f>
        <v>0.18570254724732951</v>
      </c>
      <c r="L208" s="249">
        <f>11.3/60.85</f>
        <v>0.18570254724732951</v>
      </c>
      <c r="M208" s="249">
        <f>11.3/60.85</f>
        <v>0.18570254724732951</v>
      </c>
      <c r="N208" s="249">
        <f>11.3/60.85</f>
        <v>0.18570254724732951</v>
      </c>
      <c r="O208" s="19"/>
      <c r="P208" s="249">
        <f>11.3/60.85</f>
        <v>0.18570254724732951</v>
      </c>
      <c r="Q208" s="249">
        <f>11.3/60.85</f>
        <v>0.18570254724732951</v>
      </c>
      <c r="R208" s="249">
        <f>11.3/60.85</f>
        <v>0.18570254724732951</v>
      </c>
      <c r="S208" s="249">
        <f>11.3/60.85</f>
        <v>0.18570254724732951</v>
      </c>
      <c r="T208" s="249">
        <f>11.3/60.85</f>
        <v>0.18570254724732951</v>
      </c>
      <c r="U208" s="19"/>
      <c r="V208" s="249">
        <f>11.3/60.85</f>
        <v>0.18570254724732951</v>
      </c>
      <c r="W208" s="249">
        <f>(11.3+12.901)/60.85</f>
        <v>0.39771569433032045</v>
      </c>
      <c r="X208" s="249">
        <f>(11.3+12.901)/60.85</f>
        <v>0.39771569433032045</v>
      </c>
      <c r="Y208" s="249">
        <f>(11.3+12.901)/60.85</f>
        <v>0.39771569433032045</v>
      </c>
      <c r="Z208" s="249">
        <f>(11.3+12.901)/60.85</f>
        <v>0.39771569433032045</v>
      </c>
      <c r="AA208" s="19"/>
      <c r="AB208" s="249">
        <f>(11.3+12.901)/60.85</f>
        <v>0.39771569433032045</v>
      </c>
      <c r="AC208" s="249">
        <f>(11.3+12.901)/60.85</f>
        <v>0.39771569433032045</v>
      </c>
      <c r="AD208" s="249">
        <f>(11.3+12.901)/60.85</f>
        <v>0.39771569433032045</v>
      </c>
      <c r="AE208" s="249">
        <f>(11.3+12.901)/60.85</f>
        <v>0.39771569433032045</v>
      </c>
      <c r="AF208" s="249">
        <f>(11.3+12.901)/60.85</f>
        <v>0.39771569433032045</v>
      </c>
      <c r="AG208" s="19"/>
      <c r="AH208" s="249">
        <f>(11.3+12.901)/60.85</f>
        <v>0.39771569433032045</v>
      </c>
    </row>
    <row r="209" spans="1:34" x14ac:dyDescent="0.2">
      <c r="A209" s="289"/>
      <c r="B209" s="288"/>
      <c r="C209" s="288"/>
      <c r="D209" s="291"/>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91" t="s">
        <v>78</v>
      </c>
      <c r="E210" s="249">
        <v>1</v>
      </c>
      <c r="F210" s="249">
        <v>1</v>
      </c>
      <c r="G210" s="249">
        <v>1</v>
      </c>
      <c r="H210" s="249">
        <v>1</v>
      </c>
      <c r="I210" s="19"/>
      <c r="J210" s="249">
        <v>1</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91"/>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24.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x14ac:dyDescent="0.2">
      <c r="A213" s="289"/>
      <c r="B213" s="284" t="s">
        <v>43</v>
      </c>
      <c r="C213" s="284"/>
      <c r="D213" s="291"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f>16.754/60.85</f>
        <v>0.27533278553820872</v>
      </c>
      <c r="X213" s="249">
        <f>16.754/60.85</f>
        <v>0.27533278553820872</v>
      </c>
      <c r="Y213" s="249">
        <f>16.754/60.85</f>
        <v>0.27533278553820872</v>
      </c>
      <c r="Z213" s="249">
        <f>16.754/60.85</f>
        <v>0.27533278553820872</v>
      </c>
      <c r="AA213" s="19"/>
      <c r="AB213" s="249">
        <f>16.754/60.85</f>
        <v>0.27533278553820872</v>
      </c>
      <c r="AC213" s="249">
        <f>16.754/60.85</f>
        <v>0.27533278553820872</v>
      </c>
      <c r="AD213" s="249">
        <f>16.754/60.85</f>
        <v>0.27533278553820872</v>
      </c>
      <c r="AE213" s="249">
        <f>16.754/60.85</f>
        <v>0.27533278553820872</v>
      </c>
      <c r="AF213" s="249">
        <f>16.754/60.85</f>
        <v>0.27533278553820872</v>
      </c>
      <c r="AG213" s="19"/>
      <c r="AH213" s="249">
        <f>16.754/60.85</f>
        <v>0.27533278553820872</v>
      </c>
    </row>
    <row r="214" spans="1:34" x14ac:dyDescent="0.2">
      <c r="A214" s="289"/>
      <c r="B214" s="284"/>
      <c r="C214" s="284"/>
      <c r="D214" s="291"/>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x14ac:dyDescent="0.2">
      <c r="A215" s="289"/>
      <c r="B215" s="284" t="s">
        <v>44</v>
      </c>
      <c r="C215" s="284"/>
      <c r="D215" s="291"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1</v>
      </c>
      <c r="AD215" s="249">
        <v>2</v>
      </c>
      <c r="AE215" s="249">
        <v>3</v>
      </c>
      <c r="AF215" s="249">
        <v>4</v>
      </c>
      <c r="AG215" s="19"/>
      <c r="AH215" s="249">
        <v>1</v>
      </c>
    </row>
    <row r="216" spans="1:34" x14ac:dyDescent="0.2">
      <c r="A216" s="289"/>
      <c r="B216" s="284"/>
      <c r="C216" s="284"/>
      <c r="D216" s="291"/>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v>
      </c>
      <c r="F217" s="250">
        <v>0</v>
      </c>
      <c r="G217" s="250">
        <v>0</v>
      </c>
      <c r="H217" s="250">
        <v>0</v>
      </c>
      <c r="I217" s="26"/>
      <c r="J217" s="250">
        <v>0</v>
      </c>
      <c r="K217" s="250">
        <v>0</v>
      </c>
      <c r="L217" s="250">
        <v>0</v>
      </c>
      <c r="M217" s="250">
        <v>0</v>
      </c>
      <c r="N217" s="250">
        <v>0</v>
      </c>
      <c r="O217" s="26"/>
      <c r="P217" s="250">
        <v>0</v>
      </c>
      <c r="Q217" s="250">
        <v>0</v>
      </c>
      <c r="R217" s="250">
        <v>0</v>
      </c>
      <c r="S217" s="250">
        <v>0</v>
      </c>
      <c r="T217" s="250">
        <v>0</v>
      </c>
      <c r="U217" s="26"/>
      <c r="V217" s="250">
        <v>0</v>
      </c>
      <c r="W217" s="250">
        <v>0.19</v>
      </c>
      <c r="X217" s="250">
        <v>0.19</v>
      </c>
      <c r="Y217" s="250">
        <v>0.19</v>
      </c>
      <c r="Z217" s="250">
        <v>0.19</v>
      </c>
      <c r="AA217" s="26"/>
      <c r="AB217" s="250">
        <v>0.19</v>
      </c>
      <c r="AC217" s="250">
        <v>1.19</v>
      </c>
      <c r="AD217" s="250">
        <v>2.19</v>
      </c>
      <c r="AE217" s="250">
        <v>3.19</v>
      </c>
      <c r="AF217" s="250">
        <v>4.1900000000000004</v>
      </c>
      <c r="AG217" s="26"/>
      <c r="AH217" s="250">
        <v>0.19</v>
      </c>
    </row>
    <row r="218" spans="1:34" ht="23.25" customHeight="1" x14ac:dyDescent="0.2">
      <c r="A218" s="289"/>
      <c r="B218" s="284"/>
      <c r="C218" s="284"/>
      <c r="D218" s="20"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2"/>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2"/>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18"/>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34"/>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18">
        <v>3</v>
      </c>
      <c r="E224" s="22" t="s">
        <v>106</v>
      </c>
      <c r="F224" s="22" t="s">
        <v>107</v>
      </c>
      <c r="G224" s="22" t="s">
        <v>108</v>
      </c>
      <c r="H224" s="22" t="s">
        <v>109</v>
      </c>
      <c r="I224" s="22" t="s">
        <v>110</v>
      </c>
      <c r="J224" s="22"/>
      <c r="K224" s="22" t="s">
        <v>106</v>
      </c>
      <c r="L224" s="22" t="s">
        <v>107</v>
      </c>
      <c r="M224" s="22" t="s">
        <v>108</v>
      </c>
      <c r="N224" s="22" t="s">
        <v>109</v>
      </c>
      <c r="O224" s="22" t="s">
        <v>110</v>
      </c>
      <c r="P224" s="22"/>
      <c r="Q224" s="22" t="s">
        <v>106</v>
      </c>
      <c r="R224" s="22" t="s">
        <v>107</v>
      </c>
      <c r="S224" s="22" t="s">
        <v>108</v>
      </c>
      <c r="T224" s="22" t="s">
        <v>109</v>
      </c>
      <c r="U224" s="22" t="s">
        <v>110</v>
      </c>
      <c r="V224" s="22"/>
      <c r="W224" s="22"/>
      <c r="X224" s="22"/>
      <c r="Y224" s="22" t="s">
        <v>108</v>
      </c>
      <c r="Z224" s="22" t="s">
        <v>109</v>
      </c>
      <c r="AA224" s="22" t="s">
        <v>110</v>
      </c>
      <c r="AB224" s="22"/>
      <c r="AC224" s="22" t="s">
        <v>106</v>
      </c>
      <c r="AD224" s="22" t="s">
        <v>107</v>
      </c>
      <c r="AE224" s="22" t="s">
        <v>108</v>
      </c>
      <c r="AF224" s="22" t="s">
        <v>109</v>
      </c>
      <c r="AG224" s="22" t="s">
        <v>110</v>
      </c>
      <c r="AH224" s="22"/>
    </row>
    <row r="225" spans="1:34" ht="34.799999999999997" customHeight="1" x14ac:dyDescent="0.2">
      <c r="A225" s="17">
        <v>3.1</v>
      </c>
      <c r="B225" s="264" t="s">
        <v>105</v>
      </c>
      <c r="C225" s="264"/>
      <c r="D225" s="265"/>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265"/>
    </row>
    <row r="226" spans="1:34" ht="15.75" customHeight="1" x14ac:dyDescent="0.2">
      <c r="A226" s="289"/>
      <c r="B226" s="284" t="s">
        <v>45</v>
      </c>
      <c r="C226" s="284"/>
      <c r="D226" s="25" t="s">
        <v>101</v>
      </c>
      <c r="E226" s="23">
        <v>760</v>
      </c>
      <c r="F226" s="23">
        <v>785</v>
      </c>
      <c r="G226" s="23">
        <v>810</v>
      </c>
      <c r="H226" s="23">
        <v>835</v>
      </c>
      <c r="I226" s="41"/>
      <c r="J226" s="41">
        <v>835</v>
      </c>
      <c r="K226" s="23">
        <v>860</v>
      </c>
      <c r="L226" s="23">
        <v>885</v>
      </c>
      <c r="M226" s="23">
        <v>910</v>
      </c>
      <c r="N226" s="23">
        <v>935</v>
      </c>
      <c r="O226" s="41"/>
      <c r="P226" s="41">
        <v>935</v>
      </c>
      <c r="Q226" s="23">
        <v>960</v>
      </c>
      <c r="R226" s="23">
        <v>985</v>
      </c>
      <c r="S226" s="23">
        <v>1010</v>
      </c>
      <c r="T226" s="23">
        <v>1035</v>
      </c>
      <c r="U226" s="23"/>
      <c r="V226" s="41">
        <v>1035</v>
      </c>
      <c r="W226" s="23">
        <v>1106</v>
      </c>
      <c r="X226" s="23">
        <v>1177</v>
      </c>
      <c r="Y226" s="23">
        <v>1247</v>
      </c>
      <c r="Z226" s="23">
        <v>1318</v>
      </c>
      <c r="AA226" s="41"/>
      <c r="AB226" s="93">
        <v>1318</v>
      </c>
      <c r="AC226" s="23">
        <v>1343</v>
      </c>
      <c r="AD226" s="23">
        <v>1368</v>
      </c>
      <c r="AE226" s="23">
        <v>1393</v>
      </c>
      <c r="AF226" s="23">
        <v>1418</v>
      </c>
      <c r="AG226" s="41"/>
      <c r="AH226" s="93">
        <v>1418</v>
      </c>
    </row>
    <row r="227" spans="1:34" ht="20.399999999999999" customHeight="1" x14ac:dyDescent="0.2">
      <c r="A227" s="289"/>
      <c r="B227" s="284"/>
      <c r="C227" s="284"/>
      <c r="D227" s="25" t="s">
        <v>32</v>
      </c>
      <c r="E227" s="26">
        <v>11.3</v>
      </c>
      <c r="F227" s="26">
        <v>11.3</v>
      </c>
      <c r="G227" s="26">
        <v>11.3</v>
      </c>
      <c r="H227" s="26">
        <v>11.3</v>
      </c>
      <c r="I227" s="26"/>
      <c r="J227" s="26">
        <v>11.3</v>
      </c>
      <c r="K227" s="26">
        <v>11.3</v>
      </c>
      <c r="L227" s="26">
        <v>11.3</v>
      </c>
      <c r="M227" s="26">
        <v>11.3</v>
      </c>
      <c r="N227" s="26">
        <v>11.3</v>
      </c>
      <c r="O227" s="26"/>
      <c r="P227" s="26">
        <v>11.3</v>
      </c>
      <c r="Q227" s="26">
        <v>11.3</v>
      </c>
      <c r="R227" s="26">
        <v>11.3</v>
      </c>
      <c r="S227" s="26">
        <v>11.3</v>
      </c>
      <c r="T227" s="26">
        <v>11.3</v>
      </c>
      <c r="U227" s="44"/>
      <c r="V227" s="26">
        <v>11.3</v>
      </c>
      <c r="W227" s="26">
        <f t="shared" ref="W227:Z228" si="0">11.3+12.901</f>
        <v>24.201000000000001</v>
      </c>
      <c r="X227" s="26">
        <f t="shared" si="0"/>
        <v>24.201000000000001</v>
      </c>
      <c r="Y227" s="26">
        <f t="shared" si="0"/>
        <v>24.201000000000001</v>
      </c>
      <c r="Z227" s="26">
        <f t="shared" si="0"/>
        <v>24.201000000000001</v>
      </c>
      <c r="AA227" s="26"/>
      <c r="AB227" s="26">
        <f>11.3+12.901</f>
        <v>24.201000000000001</v>
      </c>
      <c r="AC227" s="26">
        <f t="shared" ref="AC227:AF228" si="1">11.3+12.901</f>
        <v>24.201000000000001</v>
      </c>
      <c r="AD227" s="26">
        <f t="shared" si="1"/>
        <v>24.201000000000001</v>
      </c>
      <c r="AE227" s="26">
        <f t="shared" si="1"/>
        <v>24.201000000000001</v>
      </c>
      <c r="AF227" s="26">
        <f t="shared" si="1"/>
        <v>24.201000000000001</v>
      </c>
      <c r="AG227" s="26"/>
      <c r="AH227" s="58">
        <f>AB227</f>
        <v>24.201000000000001</v>
      </c>
    </row>
    <row r="228" spans="1:34" ht="15.75" customHeight="1" x14ac:dyDescent="0.2">
      <c r="A228" s="289"/>
      <c r="B228" s="284" t="s">
        <v>46</v>
      </c>
      <c r="C228" s="284"/>
      <c r="D228" s="25" t="s">
        <v>32</v>
      </c>
      <c r="E228" s="26">
        <v>11.3</v>
      </c>
      <c r="F228" s="26">
        <v>11.3</v>
      </c>
      <c r="G228" s="26">
        <v>11.3</v>
      </c>
      <c r="H228" s="26">
        <v>11.3</v>
      </c>
      <c r="I228" s="26"/>
      <c r="J228" s="26">
        <v>11.3</v>
      </c>
      <c r="K228" s="26">
        <v>11.3</v>
      </c>
      <c r="L228" s="26">
        <v>11.3</v>
      </c>
      <c r="M228" s="26">
        <v>11.3</v>
      </c>
      <c r="N228" s="26">
        <v>11.3</v>
      </c>
      <c r="O228" s="26"/>
      <c r="P228" s="26">
        <v>11.3</v>
      </c>
      <c r="Q228" s="26">
        <v>11.3</v>
      </c>
      <c r="R228" s="26">
        <v>11.3</v>
      </c>
      <c r="S228" s="26">
        <v>11.3</v>
      </c>
      <c r="T228" s="26">
        <v>11.3</v>
      </c>
      <c r="U228" s="44"/>
      <c r="V228" s="26">
        <v>11.3</v>
      </c>
      <c r="W228" s="26">
        <f t="shared" si="0"/>
        <v>24.201000000000001</v>
      </c>
      <c r="X228" s="26">
        <f t="shared" si="0"/>
        <v>24.201000000000001</v>
      </c>
      <c r="Y228" s="26">
        <f t="shared" si="0"/>
        <v>24.201000000000001</v>
      </c>
      <c r="Z228" s="26">
        <f t="shared" si="0"/>
        <v>24.201000000000001</v>
      </c>
      <c r="AA228" s="26"/>
      <c r="AB228" s="26">
        <f>11.3+12.901</f>
        <v>24.201000000000001</v>
      </c>
      <c r="AC228" s="26">
        <f t="shared" si="1"/>
        <v>24.201000000000001</v>
      </c>
      <c r="AD228" s="26">
        <f t="shared" si="1"/>
        <v>24.201000000000001</v>
      </c>
      <c r="AE228" s="26">
        <f t="shared" si="1"/>
        <v>24.201000000000001</v>
      </c>
      <c r="AF228" s="26">
        <f t="shared" si="1"/>
        <v>24.201000000000001</v>
      </c>
      <c r="AG228" s="26"/>
      <c r="AH228" s="58">
        <f>AB228</f>
        <v>24.201000000000001</v>
      </c>
    </row>
    <row r="229" spans="1:34" ht="31.8" customHeight="1" x14ac:dyDescent="0.2">
      <c r="A229" s="289"/>
      <c r="B229" s="284"/>
      <c r="C229" s="284"/>
      <c r="D229" s="25" t="s">
        <v>143</v>
      </c>
      <c r="E229" s="47">
        <v>1882.65</v>
      </c>
      <c r="F229" s="47">
        <v>1968.3</v>
      </c>
      <c r="G229" s="47">
        <v>2053.9499999999998</v>
      </c>
      <c r="H229" s="47">
        <v>2139.6</v>
      </c>
      <c r="I229" s="41"/>
      <c r="J229" s="41">
        <v>2139.6</v>
      </c>
      <c r="K229" s="47">
        <v>2225.25</v>
      </c>
      <c r="L229" s="47">
        <v>2310.9</v>
      </c>
      <c r="M229" s="47">
        <v>2396.5500000000002</v>
      </c>
      <c r="N229" s="47">
        <v>2482.1999999999998</v>
      </c>
      <c r="O229" s="41"/>
      <c r="P229" s="41">
        <v>2482.1999999999998</v>
      </c>
      <c r="Q229" s="47">
        <v>2566.85</v>
      </c>
      <c r="R229" s="47">
        <v>2651.5</v>
      </c>
      <c r="S229" s="47">
        <v>2736.15</v>
      </c>
      <c r="T229" s="47">
        <v>2820.8</v>
      </c>
      <c r="U229" s="47"/>
      <c r="V229" s="41">
        <v>2820.8</v>
      </c>
      <c r="W229" s="47">
        <v>2904.45</v>
      </c>
      <c r="X229" s="47">
        <v>2988.1</v>
      </c>
      <c r="Y229" s="47">
        <v>3071.75</v>
      </c>
      <c r="Z229" s="47">
        <v>3155.4</v>
      </c>
      <c r="AA229" s="41"/>
      <c r="AB229" s="41">
        <v>3155.4</v>
      </c>
      <c r="AC229" s="47">
        <v>3237.1785</v>
      </c>
      <c r="AD229" s="47">
        <v>3318.9569999999999</v>
      </c>
      <c r="AE229" s="47">
        <v>3400.7354999999998</v>
      </c>
      <c r="AF229" s="47">
        <v>3482.5140000000001</v>
      </c>
      <c r="AG229" s="41"/>
      <c r="AH229" s="41">
        <v>3482.5140000000001</v>
      </c>
    </row>
    <row r="230" spans="1:34" ht="15.75" customHeight="1" x14ac:dyDescent="0.2">
      <c r="A230" s="289"/>
      <c r="B230" s="284" t="s">
        <v>47</v>
      </c>
      <c r="C230" s="284"/>
      <c r="D230" s="25" t="s">
        <v>32</v>
      </c>
      <c r="E230" s="26">
        <v>11.3</v>
      </c>
      <c r="F230" s="26">
        <v>11.3</v>
      </c>
      <c r="G230" s="26">
        <v>11.3</v>
      </c>
      <c r="H230" s="26">
        <v>11.3</v>
      </c>
      <c r="I230" s="41"/>
      <c r="J230" s="26">
        <v>11.3</v>
      </c>
      <c r="K230" s="26">
        <v>11.3</v>
      </c>
      <c r="L230" s="26">
        <v>11.3</v>
      </c>
      <c r="M230" s="26">
        <v>11.3</v>
      </c>
      <c r="N230" s="26">
        <v>11.3</v>
      </c>
      <c r="O230" s="26"/>
      <c r="P230" s="26">
        <v>11.3</v>
      </c>
      <c r="Q230" s="26">
        <v>11.3</v>
      </c>
      <c r="R230" s="26">
        <v>11.3</v>
      </c>
      <c r="S230" s="26">
        <v>11.3</v>
      </c>
      <c r="T230" s="26">
        <v>11.3</v>
      </c>
      <c r="U230" s="44"/>
      <c r="V230" s="26">
        <v>11.3</v>
      </c>
      <c r="W230" s="26">
        <f>11.3+12.901+3.22</f>
        <v>27.420999999999999</v>
      </c>
      <c r="X230" s="26">
        <f>11.3+12.901+3.22</f>
        <v>27.420999999999999</v>
      </c>
      <c r="Y230" s="26">
        <f>11.3+12.901+3.22</f>
        <v>27.420999999999999</v>
      </c>
      <c r="Z230" s="26">
        <f>11.3+12.901+3.22</f>
        <v>27.420999999999999</v>
      </c>
      <c r="AA230" s="26"/>
      <c r="AB230" s="26">
        <f>11.3+12.901+3.22</f>
        <v>27.420999999999999</v>
      </c>
      <c r="AC230" s="26">
        <f>11.3+12.901+3.22</f>
        <v>27.420999999999999</v>
      </c>
      <c r="AD230" s="26">
        <f>11.3+12.901+3.22</f>
        <v>27.420999999999999</v>
      </c>
      <c r="AE230" s="26">
        <f>11.3+12.901+3.22</f>
        <v>27.420999999999999</v>
      </c>
      <c r="AF230" s="26">
        <f>11.3+12.901+3.22</f>
        <v>27.420999999999999</v>
      </c>
      <c r="AG230" s="26"/>
      <c r="AH230" s="58">
        <f>AB230</f>
        <v>27.420999999999999</v>
      </c>
    </row>
    <row r="231" spans="1:34" x14ac:dyDescent="0.2">
      <c r="A231" s="289"/>
      <c r="B231" s="284"/>
      <c r="C231" s="284"/>
      <c r="D231" s="25" t="s">
        <v>143</v>
      </c>
      <c r="E231" s="47">
        <v>1882.65</v>
      </c>
      <c r="F231" s="47">
        <v>1968.3</v>
      </c>
      <c r="G231" s="47">
        <v>2053.9499999999998</v>
      </c>
      <c r="H231" s="47">
        <v>2139.6</v>
      </c>
      <c r="I231" s="41"/>
      <c r="J231" s="41">
        <v>2139.6</v>
      </c>
      <c r="K231" s="47">
        <v>2225.25</v>
      </c>
      <c r="L231" s="47">
        <v>2310.9</v>
      </c>
      <c r="M231" s="47">
        <v>2396.5500000000002</v>
      </c>
      <c r="N231" s="47">
        <v>2482.1999999999998</v>
      </c>
      <c r="O231" s="41"/>
      <c r="P231" s="41">
        <v>2482.1999999999998</v>
      </c>
      <c r="Q231" s="47">
        <v>2566.85</v>
      </c>
      <c r="R231" s="47">
        <v>2651.5</v>
      </c>
      <c r="S231" s="47">
        <v>2736.15</v>
      </c>
      <c r="T231" s="47">
        <v>2820.8</v>
      </c>
      <c r="U231" s="47"/>
      <c r="V231" s="41">
        <v>2820.8</v>
      </c>
      <c r="W231" s="47">
        <v>2904.45</v>
      </c>
      <c r="X231" s="47">
        <v>2988.1</v>
      </c>
      <c r="Y231" s="47">
        <v>3071.75</v>
      </c>
      <c r="Z231" s="47">
        <v>3155.4</v>
      </c>
      <c r="AA231" s="41"/>
      <c r="AB231" s="41">
        <v>3155.4</v>
      </c>
      <c r="AC231" s="47">
        <v>3237.1785</v>
      </c>
      <c r="AD231" s="47">
        <v>3318.9569999999999</v>
      </c>
      <c r="AE231" s="47">
        <v>3400.7354999999998</v>
      </c>
      <c r="AF231" s="47">
        <v>3482.5140000000001</v>
      </c>
      <c r="AG231" s="41"/>
      <c r="AH231" s="41">
        <v>3482.5140000000001</v>
      </c>
    </row>
    <row r="232" spans="1:34" x14ac:dyDescent="0.2">
      <c r="A232" s="289"/>
      <c r="B232" s="284" t="s">
        <v>36</v>
      </c>
      <c r="C232" s="284"/>
      <c r="D232" s="25" t="s">
        <v>144</v>
      </c>
      <c r="E232" s="41">
        <v>0</v>
      </c>
      <c r="F232" s="41">
        <v>0</v>
      </c>
      <c r="G232" s="41">
        <v>0</v>
      </c>
      <c r="H232" s="41">
        <v>0</v>
      </c>
      <c r="I232" s="41"/>
      <c r="J232" s="41">
        <v>0</v>
      </c>
      <c r="K232" s="41">
        <v>0</v>
      </c>
      <c r="L232" s="41">
        <v>0</v>
      </c>
      <c r="M232" s="41">
        <v>0</v>
      </c>
      <c r="N232" s="41">
        <v>0</v>
      </c>
      <c r="O232" s="41"/>
      <c r="P232" s="41">
        <v>0</v>
      </c>
      <c r="Q232" s="41">
        <v>0</v>
      </c>
      <c r="R232" s="41">
        <v>0</v>
      </c>
      <c r="S232" s="41">
        <v>0</v>
      </c>
      <c r="T232" s="41">
        <v>0</v>
      </c>
      <c r="U232" s="41"/>
      <c r="V232" s="41">
        <v>0</v>
      </c>
      <c r="W232" s="23">
        <v>140</v>
      </c>
      <c r="X232" s="23">
        <v>281</v>
      </c>
      <c r="Y232" s="23">
        <v>421</v>
      </c>
      <c r="Z232" s="23">
        <v>561</v>
      </c>
      <c r="AA232" s="41"/>
      <c r="AB232" s="41">
        <v>561</v>
      </c>
      <c r="AC232" s="23">
        <v>560</v>
      </c>
      <c r="AD232" s="23">
        <v>560</v>
      </c>
      <c r="AE232" s="23">
        <v>561</v>
      </c>
      <c r="AF232" s="23">
        <v>561</v>
      </c>
      <c r="AG232" s="41"/>
      <c r="AH232" s="41">
        <v>561</v>
      </c>
    </row>
    <row r="233" spans="1:34" x14ac:dyDescent="0.2">
      <c r="A233" s="289"/>
      <c r="B233" s="284"/>
      <c r="C233" s="284"/>
      <c r="D233" s="25" t="s">
        <v>32</v>
      </c>
      <c r="E233" s="41">
        <v>0</v>
      </c>
      <c r="F233" s="41">
        <v>0</v>
      </c>
      <c r="G233" s="41">
        <v>0</v>
      </c>
      <c r="H233" s="41">
        <v>0</v>
      </c>
      <c r="I233" s="41"/>
      <c r="J233" s="41">
        <v>0</v>
      </c>
      <c r="K233" s="41">
        <v>0</v>
      </c>
      <c r="L233" s="41">
        <v>0</v>
      </c>
      <c r="M233" s="41">
        <v>0</v>
      </c>
      <c r="N233" s="41">
        <v>0</v>
      </c>
      <c r="O233" s="41"/>
      <c r="P233" s="41">
        <v>0</v>
      </c>
      <c r="Q233" s="41">
        <v>0</v>
      </c>
      <c r="R233" s="41">
        <v>0</v>
      </c>
      <c r="S233" s="41">
        <v>0</v>
      </c>
      <c r="T233" s="41">
        <v>0</v>
      </c>
      <c r="U233" s="41"/>
      <c r="V233" s="41">
        <v>0</v>
      </c>
      <c r="W233" s="23">
        <v>4.1885000000000003</v>
      </c>
      <c r="X233" s="23">
        <v>8.3770000000000007</v>
      </c>
      <c r="Y233" s="23">
        <v>12.5655</v>
      </c>
      <c r="Z233" s="23">
        <v>16.754000000000001</v>
      </c>
      <c r="AA233" s="41"/>
      <c r="AB233" s="26">
        <v>16.754000000000001</v>
      </c>
      <c r="AC233" s="23">
        <v>16.716304000000001</v>
      </c>
      <c r="AD233" s="23">
        <v>16.728869</v>
      </c>
      <c r="AE233" s="23">
        <v>16.741434999999999</v>
      </c>
      <c r="AF233" s="23">
        <v>16.754000000000001</v>
      </c>
      <c r="AG233" s="41"/>
      <c r="AH233" s="26">
        <v>16.754000000000001</v>
      </c>
    </row>
    <row r="234" spans="1:34" x14ac:dyDescent="0.2">
      <c r="A234" s="289"/>
      <c r="B234" s="284" t="s">
        <v>48</v>
      </c>
      <c r="C234" s="284"/>
      <c r="D234" s="25" t="s">
        <v>143</v>
      </c>
      <c r="E234" s="23">
        <v>0</v>
      </c>
      <c r="F234" s="23">
        <v>0</v>
      </c>
      <c r="G234" s="23">
        <v>0</v>
      </c>
      <c r="H234" s="23">
        <v>0</v>
      </c>
      <c r="I234" s="41"/>
      <c r="J234" s="23">
        <v>0</v>
      </c>
      <c r="K234" s="23">
        <v>0</v>
      </c>
      <c r="L234" s="23">
        <v>0</v>
      </c>
      <c r="M234" s="23">
        <v>0</v>
      </c>
      <c r="N234" s="23">
        <v>0</v>
      </c>
      <c r="O234" s="41"/>
      <c r="P234" s="41">
        <v>0</v>
      </c>
      <c r="Q234" s="41">
        <v>0</v>
      </c>
      <c r="R234" s="41">
        <v>0</v>
      </c>
      <c r="S234" s="41">
        <v>0</v>
      </c>
      <c r="T234" s="41">
        <v>0</v>
      </c>
      <c r="U234" s="41"/>
      <c r="V234" s="41">
        <v>0</v>
      </c>
      <c r="W234" s="47">
        <v>438</v>
      </c>
      <c r="X234" s="47">
        <v>877</v>
      </c>
      <c r="Y234" s="47">
        <v>1315</v>
      </c>
      <c r="Z234" s="47">
        <v>1753</v>
      </c>
      <c r="AA234" s="41"/>
      <c r="AB234" s="41">
        <v>1753</v>
      </c>
      <c r="AC234" s="47">
        <v>2099.1</v>
      </c>
      <c r="AD234" s="47">
        <v>2445.1999999999998</v>
      </c>
      <c r="AE234" s="47">
        <v>2791.3</v>
      </c>
      <c r="AF234" s="47">
        <v>3137.4</v>
      </c>
      <c r="AG234" s="41"/>
      <c r="AH234" s="41">
        <v>3137.4</v>
      </c>
    </row>
    <row r="235" spans="1:34" x14ac:dyDescent="0.2">
      <c r="A235" s="289"/>
      <c r="B235" s="284"/>
      <c r="C235" s="284"/>
      <c r="D235" s="25" t="s">
        <v>143</v>
      </c>
      <c r="E235" s="23">
        <f>3586-20</f>
        <v>3566</v>
      </c>
      <c r="F235" s="23">
        <f>3586-20</f>
        <v>3566</v>
      </c>
      <c r="G235" s="23">
        <f>3586-20</f>
        <v>3566</v>
      </c>
      <c r="H235" s="23">
        <f>3586-20</f>
        <v>3566</v>
      </c>
      <c r="I235" s="41"/>
      <c r="J235" s="23">
        <f>3586-20</f>
        <v>3566</v>
      </c>
      <c r="K235" s="41">
        <f>E235-20</f>
        <v>3546</v>
      </c>
      <c r="L235" s="41">
        <f>F235-20</f>
        <v>3546</v>
      </c>
      <c r="M235" s="41">
        <f>G235-20</f>
        <v>3546</v>
      </c>
      <c r="N235" s="41">
        <f>H235-20</f>
        <v>3546</v>
      </c>
      <c r="O235" s="41"/>
      <c r="P235" s="41">
        <f>J235-20</f>
        <v>3546</v>
      </c>
      <c r="Q235" s="41">
        <f>K235-20</f>
        <v>3526</v>
      </c>
      <c r="R235" s="41">
        <f>L235-20</f>
        <v>3526</v>
      </c>
      <c r="S235" s="41">
        <f>M235-20</f>
        <v>3526</v>
      </c>
      <c r="T235" s="41">
        <f>N235-20</f>
        <v>3526</v>
      </c>
      <c r="U235" s="41"/>
      <c r="V235" s="41">
        <f>P235-20</f>
        <v>3526</v>
      </c>
      <c r="W235" s="41">
        <f>Q235-20</f>
        <v>3506</v>
      </c>
      <c r="X235" s="41">
        <f>R235-20</f>
        <v>3506</v>
      </c>
      <c r="Y235" s="41">
        <f>S235-20</f>
        <v>3506</v>
      </c>
      <c r="Z235" s="41">
        <f>T235-20</f>
        <v>3506</v>
      </c>
      <c r="AA235" s="41"/>
      <c r="AB235" s="41">
        <f>V235-20</f>
        <v>3506</v>
      </c>
      <c r="AC235" s="41">
        <f>W235-20</f>
        <v>3486</v>
      </c>
      <c r="AD235" s="41">
        <f>X235-20</f>
        <v>3486</v>
      </c>
      <c r="AE235" s="41">
        <f>Y235-20</f>
        <v>3486</v>
      </c>
      <c r="AF235" s="41">
        <f>Z235-20</f>
        <v>3486</v>
      </c>
      <c r="AG235" s="41"/>
      <c r="AH235" s="41">
        <f>AB235-20</f>
        <v>3486</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91"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91"/>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91"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91"/>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91"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91"/>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91"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91"/>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91"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91"/>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91"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91"/>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91"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91"/>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91"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91"/>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91"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91"/>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C256" s="9"/>
      <c r="D256" s="10"/>
    </row>
  </sheetData>
  <mergeCells count="2888">
    <mergeCell ref="B14:AH14"/>
    <mergeCell ref="B236:AH236"/>
    <mergeCell ref="B212:AH212"/>
    <mergeCell ref="B195:AH195"/>
    <mergeCell ref="B194:AH194"/>
    <mergeCell ref="B189:AH189"/>
    <mergeCell ref="B124:AH124"/>
    <mergeCell ref="G222:H222"/>
    <mergeCell ref="M222:N222"/>
    <mergeCell ref="S222:T222"/>
    <mergeCell ref="J251:J252"/>
    <mergeCell ref="P251:P252"/>
    <mergeCell ref="V251:V252"/>
    <mergeCell ref="AB251:AB252"/>
    <mergeCell ref="AH251:AH252"/>
    <mergeCell ref="J253:J254"/>
    <mergeCell ref="P253:P254"/>
    <mergeCell ref="V253:V254"/>
    <mergeCell ref="AB253:AB254"/>
    <mergeCell ref="AH253:AH254"/>
    <mergeCell ref="J247:J248"/>
    <mergeCell ref="P247:P248"/>
    <mergeCell ref="V247:V248"/>
    <mergeCell ref="AB247:AB248"/>
    <mergeCell ref="AH247:AH248"/>
    <mergeCell ref="J249:J250"/>
    <mergeCell ref="P249:P250"/>
    <mergeCell ref="V249:V250"/>
    <mergeCell ref="AB249:AB250"/>
    <mergeCell ref="AH249:AH250"/>
    <mergeCell ref="J243:J244"/>
    <mergeCell ref="P243:P244"/>
    <mergeCell ref="AB243:AB244"/>
    <mergeCell ref="AH243:AH244"/>
    <mergeCell ref="J245:J246"/>
    <mergeCell ref="P245:P246"/>
    <mergeCell ref="V245:V246"/>
    <mergeCell ref="AB245:AB246"/>
    <mergeCell ref="AH245:AH246"/>
    <mergeCell ref="J239:J240"/>
    <mergeCell ref="P239:P240"/>
    <mergeCell ref="V239:V240"/>
    <mergeCell ref="AB239:AB240"/>
    <mergeCell ref="AH239:AH240"/>
    <mergeCell ref="J241:J242"/>
    <mergeCell ref="P241:P242"/>
    <mergeCell ref="V241:V242"/>
    <mergeCell ref="AB241:AB242"/>
    <mergeCell ref="AH241:AH242"/>
    <mergeCell ref="K239:K240"/>
    <mergeCell ref="L239:L240"/>
    <mergeCell ref="M239:M240"/>
    <mergeCell ref="N239:N240"/>
    <mergeCell ref="K241:K242"/>
    <mergeCell ref="L241:L242"/>
    <mergeCell ref="M241:M242"/>
    <mergeCell ref="N241:N242"/>
    <mergeCell ref="K243:K244"/>
    <mergeCell ref="L243:L244"/>
    <mergeCell ref="M243:M244"/>
    <mergeCell ref="N243:N244"/>
    <mergeCell ref="K245:K246"/>
    <mergeCell ref="L245:L246"/>
    <mergeCell ref="J237:J238"/>
    <mergeCell ref="P237:P238"/>
    <mergeCell ref="V237:V238"/>
    <mergeCell ref="AB237:AB238"/>
    <mergeCell ref="AH237:AH238"/>
    <mergeCell ref="J217:J218"/>
    <mergeCell ref="P217:P218"/>
    <mergeCell ref="V217:V218"/>
    <mergeCell ref="AB217:AB218"/>
    <mergeCell ref="AH217:AH218"/>
    <mergeCell ref="Y222:Z222"/>
    <mergeCell ref="AE222:AF222"/>
    <mergeCell ref="D215:D216"/>
    <mergeCell ref="J215:J216"/>
    <mergeCell ref="P215:P216"/>
    <mergeCell ref="V215:V216"/>
    <mergeCell ref="AB215:AB216"/>
    <mergeCell ref="K217:K218"/>
    <mergeCell ref="L217:L218"/>
    <mergeCell ref="M217:M218"/>
    <mergeCell ref="AE215:AE216"/>
    <mergeCell ref="AF215:AF216"/>
    <mergeCell ref="AC217:AC218"/>
    <mergeCell ref="AD217:AD218"/>
    <mergeCell ref="AE217:AE218"/>
    <mergeCell ref="AF217:AF218"/>
    <mergeCell ref="K237:K238"/>
    <mergeCell ref="L237:L238"/>
    <mergeCell ref="M237:M238"/>
    <mergeCell ref="N237:N238"/>
    <mergeCell ref="Q237:Q238"/>
    <mergeCell ref="R237:R238"/>
    <mergeCell ref="AH210:AH211"/>
    <mergeCell ref="AH215:AH216"/>
    <mergeCell ref="D213:D214"/>
    <mergeCell ref="J213:J214"/>
    <mergeCell ref="P213:P214"/>
    <mergeCell ref="V213:V214"/>
    <mergeCell ref="AB213:AB214"/>
    <mergeCell ref="AH213:AH214"/>
    <mergeCell ref="K213:K214"/>
    <mergeCell ref="L213:L214"/>
    <mergeCell ref="J208:J209"/>
    <mergeCell ref="P208:P209"/>
    <mergeCell ref="V208:V209"/>
    <mergeCell ref="AB208:AB209"/>
    <mergeCell ref="AH208:AH209"/>
    <mergeCell ref="D210:D211"/>
    <mergeCell ref="J210:J211"/>
    <mergeCell ref="P210:P211"/>
    <mergeCell ref="V210:V211"/>
    <mergeCell ref="AB210:AB211"/>
    <mergeCell ref="K208:K209"/>
    <mergeCell ref="L208:L209"/>
    <mergeCell ref="M208:M209"/>
    <mergeCell ref="N208:N209"/>
    <mergeCell ref="K210:K211"/>
    <mergeCell ref="L210:L211"/>
    <mergeCell ref="M210:M211"/>
    <mergeCell ref="N210:N211"/>
    <mergeCell ref="Q208:Q209"/>
    <mergeCell ref="R208:R209"/>
    <mergeCell ref="S208:S209"/>
    <mergeCell ref="T208:T209"/>
    <mergeCell ref="D206:D207"/>
    <mergeCell ref="J206:J207"/>
    <mergeCell ref="P206:P207"/>
    <mergeCell ref="V206:V207"/>
    <mergeCell ref="AB206:AB207"/>
    <mergeCell ref="AH206:AH207"/>
    <mergeCell ref="E206:E207"/>
    <mergeCell ref="F206:F207"/>
    <mergeCell ref="G206:G207"/>
    <mergeCell ref="H206:H207"/>
    <mergeCell ref="D204:D205"/>
    <mergeCell ref="J204:J205"/>
    <mergeCell ref="P204:P205"/>
    <mergeCell ref="V204:V205"/>
    <mergeCell ref="AB204:AB205"/>
    <mergeCell ref="AH204:AH205"/>
    <mergeCell ref="E204:E205"/>
    <mergeCell ref="F204:F205"/>
    <mergeCell ref="G204:G205"/>
    <mergeCell ref="H204:H205"/>
    <mergeCell ref="K206:K207"/>
    <mergeCell ref="L206:L207"/>
    <mergeCell ref="M206:M207"/>
    <mergeCell ref="N206:N207"/>
    <mergeCell ref="Q206:Q207"/>
    <mergeCell ref="R206:R207"/>
    <mergeCell ref="S206:S207"/>
    <mergeCell ref="T206:T207"/>
    <mergeCell ref="D202:D203"/>
    <mergeCell ref="J202:J203"/>
    <mergeCell ref="P202:P203"/>
    <mergeCell ref="V202:V203"/>
    <mergeCell ref="AB202:AB203"/>
    <mergeCell ref="AH202:AH203"/>
    <mergeCell ref="E202:E203"/>
    <mergeCell ref="F202:F203"/>
    <mergeCell ref="G202:G203"/>
    <mergeCell ref="H202:H203"/>
    <mergeCell ref="J198:J199"/>
    <mergeCell ref="P198:P199"/>
    <mergeCell ref="V198:V199"/>
    <mergeCell ref="AB198:AB199"/>
    <mergeCell ref="AH198:AH199"/>
    <mergeCell ref="J200:J201"/>
    <mergeCell ref="P200:P201"/>
    <mergeCell ref="V200:V201"/>
    <mergeCell ref="AB200:AB201"/>
    <mergeCell ref="AH200:AH201"/>
    <mergeCell ref="D196:D197"/>
    <mergeCell ref="J196:J197"/>
    <mergeCell ref="P196:P197"/>
    <mergeCell ref="V196:V197"/>
    <mergeCell ref="AB196:AB197"/>
    <mergeCell ref="AH196:AH197"/>
    <mergeCell ref="E196:E197"/>
    <mergeCell ref="F196:F197"/>
    <mergeCell ref="G196:G197"/>
    <mergeCell ref="H196:H197"/>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C192:AC193"/>
    <mergeCell ref="AD192:AD193"/>
    <mergeCell ref="AE192:AE193"/>
    <mergeCell ref="AF192:AF193"/>
    <mergeCell ref="E190:E191"/>
    <mergeCell ref="F190:F191"/>
    <mergeCell ref="G190:G191"/>
    <mergeCell ref="H190:H191"/>
    <mergeCell ref="E192:E193"/>
    <mergeCell ref="J185:J186"/>
    <mergeCell ref="P185:P186"/>
    <mergeCell ref="V185:V186"/>
    <mergeCell ref="AB185:AB186"/>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L181:L182"/>
    <mergeCell ref="M181:M182"/>
    <mergeCell ref="N181:N182"/>
    <mergeCell ref="L183:L184"/>
    <mergeCell ref="M183:M184"/>
    <mergeCell ref="N183:N184"/>
    <mergeCell ref="L185:L186"/>
    <mergeCell ref="M185:M186"/>
    <mergeCell ref="N185:N186"/>
    <mergeCell ref="L187:L188"/>
    <mergeCell ref="M187:M188"/>
    <mergeCell ref="N187:N188"/>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L173:L174"/>
    <mergeCell ref="M173:M174"/>
    <mergeCell ref="N173:N174"/>
    <mergeCell ref="L175:L176"/>
    <mergeCell ref="M175:M176"/>
    <mergeCell ref="N175:N176"/>
    <mergeCell ref="L177:L178"/>
    <mergeCell ref="M177:M178"/>
    <mergeCell ref="N177:N178"/>
    <mergeCell ref="L179:L180"/>
    <mergeCell ref="M179:M180"/>
    <mergeCell ref="N179:N180"/>
    <mergeCell ref="J169:J170"/>
    <mergeCell ref="P169:P170"/>
    <mergeCell ref="V169:V170"/>
    <mergeCell ref="AB169:AB17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L165:L166"/>
    <mergeCell ref="M165:M166"/>
    <mergeCell ref="N165:N166"/>
    <mergeCell ref="L167:L168"/>
    <mergeCell ref="M167:M168"/>
    <mergeCell ref="N167:N168"/>
    <mergeCell ref="L169:L170"/>
    <mergeCell ref="M169:M170"/>
    <mergeCell ref="N169:N170"/>
    <mergeCell ref="L171:L172"/>
    <mergeCell ref="M171:M172"/>
    <mergeCell ref="N171:N172"/>
    <mergeCell ref="J161:J162"/>
    <mergeCell ref="P161:P162"/>
    <mergeCell ref="V161:V162"/>
    <mergeCell ref="AB161:AB16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L157:L158"/>
    <mergeCell ref="M157:M158"/>
    <mergeCell ref="N157:N158"/>
    <mergeCell ref="L159:L160"/>
    <mergeCell ref="M159:M160"/>
    <mergeCell ref="N159:N160"/>
    <mergeCell ref="L161:L162"/>
    <mergeCell ref="M161:M162"/>
    <mergeCell ref="N161:N162"/>
    <mergeCell ref="L163:L164"/>
    <mergeCell ref="M163:M164"/>
    <mergeCell ref="N163:N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W150:W151"/>
    <mergeCell ref="X150:X151"/>
    <mergeCell ref="Y150:Y151"/>
    <mergeCell ref="Z150:Z151"/>
    <mergeCell ref="L153:L154"/>
    <mergeCell ref="M153:M154"/>
    <mergeCell ref="N153:N154"/>
    <mergeCell ref="L155:L156"/>
    <mergeCell ref="M155:M156"/>
    <mergeCell ref="N155:N156"/>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J139:J140"/>
    <mergeCell ref="P139:P140"/>
    <mergeCell ref="V139:V140"/>
    <mergeCell ref="AB139:AB140"/>
    <mergeCell ref="K137:K138"/>
    <mergeCell ref="L137:L138"/>
    <mergeCell ref="M137:M138"/>
    <mergeCell ref="N137:N138"/>
    <mergeCell ref="K139:K140"/>
    <mergeCell ref="L139:L140"/>
    <mergeCell ref="M139:M140"/>
    <mergeCell ref="N139:N140"/>
    <mergeCell ref="K141:K142"/>
    <mergeCell ref="L141:L142"/>
    <mergeCell ref="M141:M142"/>
    <mergeCell ref="N141:N142"/>
    <mergeCell ref="Q139:Q140"/>
    <mergeCell ref="R139:R140"/>
    <mergeCell ref="V133:V134"/>
    <mergeCell ref="AB133:AB134"/>
    <mergeCell ref="J135:J136"/>
    <mergeCell ref="P135:P136"/>
    <mergeCell ref="V135:V136"/>
    <mergeCell ref="AB135:AB136"/>
    <mergeCell ref="J129:J130"/>
    <mergeCell ref="P129:P130"/>
    <mergeCell ref="V129:V130"/>
    <mergeCell ref="AB129:AB130"/>
    <mergeCell ref="J131:J132"/>
    <mergeCell ref="P131:P132"/>
    <mergeCell ref="V131:V132"/>
    <mergeCell ref="AB131:AB132"/>
    <mergeCell ref="J122:J123"/>
    <mergeCell ref="P122:P123"/>
    <mergeCell ref="V122:V123"/>
    <mergeCell ref="AB122:AB123"/>
    <mergeCell ref="Q122:Q123"/>
    <mergeCell ref="R122:R123"/>
    <mergeCell ref="S122:S123"/>
    <mergeCell ref="T122:T123"/>
    <mergeCell ref="K133:K134"/>
    <mergeCell ref="L133:L134"/>
    <mergeCell ref="M133:M134"/>
    <mergeCell ref="N133:N134"/>
    <mergeCell ref="K135:K136"/>
    <mergeCell ref="L135:L136"/>
    <mergeCell ref="M135:M136"/>
    <mergeCell ref="N135:N136"/>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M118:M119"/>
    <mergeCell ref="N118:N119"/>
    <mergeCell ref="M120:M121"/>
    <mergeCell ref="N120:N121"/>
    <mergeCell ref="M122:M123"/>
    <mergeCell ref="N122:N123"/>
    <mergeCell ref="J110:J111"/>
    <mergeCell ref="P110:P111"/>
    <mergeCell ref="V110:V111"/>
    <mergeCell ref="AB110:AB11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N106:N107"/>
    <mergeCell ref="Q106:Q107"/>
    <mergeCell ref="R106:R107"/>
    <mergeCell ref="S106:S107"/>
    <mergeCell ref="T106:T107"/>
    <mergeCell ref="W106:W107"/>
    <mergeCell ref="X106:X107"/>
    <mergeCell ref="Y106:Y107"/>
    <mergeCell ref="Z106:Z107"/>
    <mergeCell ref="AC106:AC107"/>
    <mergeCell ref="AD106:AD107"/>
    <mergeCell ref="AE106:AE107"/>
    <mergeCell ref="J100:J101"/>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E96:E97"/>
    <mergeCell ref="F96:F97"/>
    <mergeCell ref="G96:G97"/>
    <mergeCell ref="H96:H97"/>
    <mergeCell ref="E98:E99"/>
    <mergeCell ref="F98:F99"/>
    <mergeCell ref="G98:G99"/>
    <mergeCell ref="H98:H99"/>
    <mergeCell ref="E100:E101"/>
    <mergeCell ref="F100:F101"/>
    <mergeCell ref="G100:G101"/>
    <mergeCell ref="H100:H101"/>
    <mergeCell ref="E102:E103"/>
    <mergeCell ref="F102:F103"/>
    <mergeCell ref="G102:G103"/>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93:E94"/>
    <mergeCell ref="F93:F94"/>
    <mergeCell ref="G93:G94"/>
    <mergeCell ref="H93:H94"/>
    <mergeCell ref="K89:K90"/>
    <mergeCell ref="L89:L90"/>
    <mergeCell ref="M89:M90"/>
    <mergeCell ref="N89:N90"/>
    <mergeCell ref="K91:K92"/>
    <mergeCell ref="L91:L92"/>
    <mergeCell ref="M91:M92"/>
    <mergeCell ref="N91:N92"/>
    <mergeCell ref="J85:J86"/>
    <mergeCell ref="P85:P86"/>
    <mergeCell ref="V85:V86"/>
    <mergeCell ref="AB85:AB86"/>
    <mergeCell ref="AH85:AH86"/>
    <mergeCell ref="J87:J88"/>
    <mergeCell ref="P87:P88"/>
    <mergeCell ref="V87:V88"/>
    <mergeCell ref="AB87:AB88"/>
    <mergeCell ref="AH87:AH88"/>
    <mergeCell ref="P78:P79"/>
    <mergeCell ref="V78:V79"/>
    <mergeCell ref="AB78:AB79"/>
    <mergeCell ref="AH78:AH79"/>
    <mergeCell ref="J83:J84"/>
    <mergeCell ref="P83:P84"/>
    <mergeCell ref="V83:V84"/>
    <mergeCell ref="AB83:AB84"/>
    <mergeCell ref="AH83:AH84"/>
    <mergeCell ref="K83:K84"/>
    <mergeCell ref="L83:L84"/>
    <mergeCell ref="M83:M84"/>
    <mergeCell ref="N83:N84"/>
    <mergeCell ref="K85:K86"/>
    <mergeCell ref="L85:L86"/>
    <mergeCell ref="M85:M86"/>
    <mergeCell ref="N85:N86"/>
    <mergeCell ref="K87:K88"/>
    <mergeCell ref="L87:L88"/>
    <mergeCell ref="M87:M88"/>
    <mergeCell ref="N87:N88"/>
    <mergeCell ref="W83:W84"/>
    <mergeCell ref="D74:D75"/>
    <mergeCell ref="J74:J75"/>
    <mergeCell ref="P74:P75"/>
    <mergeCell ref="V74:V75"/>
    <mergeCell ref="AB74:AB75"/>
    <mergeCell ref="AH74:AH75"/>
    <mergeCell ref="W74:W75"/>
    <mergeCell ref="X74:X75"/>
    <mergeCell ref="Y74:Y75"/>
    <mergeCell ref="Z74:Z75"/>
    <mergeCell ref="D71:D72"/>
    <mergeCell ref="J71:J72"/>
    <mergeCell ref="P71:P72"/>
    <mergeCell ref="V71:V72"/>
    <mergeCell ref="AB71:AB72"/>
    <mergeCell ref="AH71:AH72"/>
    <mergeCell ref="K71:K72"/>
    <mergeCell ref="L71:L72"/>
    <mergeCell ref="M71:M72"/>
    <mergeCell ref="N71:N72"/>
    <mergeCell ref="E71:E72"/>
    <mergeCell ref="F71:F72"/>
    <mergeCell ref="G71:G72"/>
    <mergeCell ref="H71:H72"/>
    <mergeCell ref="Q71:Q72"/>
    <mergeCell ref="R71:R72"/>
    <mergeCell ref="S71:S72"/>
    <mergeCell ref="T71:T72"/>
    <mergeCell ref="AC71:AC72"/>
    <mergeCell ref="AD71:AD72"/>
    <mergeCell ref="AE71:AE72"/>
    <mergeCell ref="AF71:AF72"/>
    <mergeCell ref="D69:D70"/>
    <mergeCell ref="J69:J70"/>
    <mergeCell ref="P69:P70"/>
    <mergeCell ref="V69:V70"/>
    <mergeCell ref="AB69:AB70"/>
    <mergeCell ref="AH69:AH70"/>
    <mergeCell ref="K69:K70"/>
    <mergeCell ref="L69:L70"/>
    <mergeCell ref="M69:M70"/>
    <mergeCell ref="N69:N70"/>
    <mergeCell ref="D67:D68"/>
    <mergeCell ref="J67:J68"/>
    <mergeCell ref="P67:P68"/>
    <mergeCell ref="V67:V68"/>
    <mergeCell ref="AB67:AB68"/>
    <mergeCell ref="AH67:AH68"/>
    <mergeCell ref="K67:K68"/>
    <mergeCell ref="L67:L68"/>
    <mergeCell ref="M67:M68"/>
    <mergeCell ref="N67:N68"/>
    <mergeCell ref="E67:E68"/>
    <mergeCell ref="F67:F68"/>
    <mergeCell ref="G67:G68"/>
    <mergeCell ref="H67:H68"/>
    <mergeCell ref="E69:E70"/>
    <mergeCell ref="F69:F70"/>
    <mergeCell ref="G69:G70"/>
    <mergeCell ref="H69:H70"/>
    <mergeCell ref="Q69:Q70"/>
    <mergeCell ref="R69:R70"/>
    <mergeCell ref="S69:S70"/>
    <mergeCell ref="T69:T70"/>
    <mergeCell ref="D65:D66"/>
    <mergeCell ref="J65:J66"/>
    <mergeCell ref="P65:P66"/>
    <mergeCell ref="V65:V66"/>
    <mergeCell ref="AB65:AB66"/>
    <mergeCell ref="AH65:AH66"/>
    <mergeCell ref="K65:K66"/>
    <mergeCell ref="L65:L66"/>
    <mergeCell ref="M65:M66"/>
    <mergeCell ref="N65:N66"/>
    <mergeCell ref="D63:D64"/>
    <mergeCell ref="J63:J64"/>
    <mergeCell ref="P63:P64"/>
    <mergeCell ref="V63:V64"/>
    <mergeCell ref="AB63:AB64"/>
    <mergeCell ref="AH63:AH64"/>
    <mergeCell ref="K63:K64"/>
    <mergeCell ref="L63:L64"/>
    <mergeCell ref="M63:M64"/>
    <mergeCell ref="N63:N64"/>
    <mergeCell ref="E65:E66"/>
    <mergeCell ref="F65:F66"/>
    <mergeCell ref="G65:G66"/>
    <mergeCell ref="H65:H66"/>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K56:K57"/>
    <mergeCell ref="L56:L57"/>
    <mergeCell ref="K54:K55"/>
    <mergeCell ref="L54:L55"/>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AH46:AH47"/>
    <mergeCell ref="D48:D49"/>
    <mergeCell ref="I48:I49"/>
    <mergeCell ref="J48:J49"/>
    <mergeCell ref="P48:P49"/>
    <mergeCell ref="V48:V49"/>
    <mergeCell ref="K50:K51"/>
    <mergeCell ref="L50:L51"/>
    <mergeCell ref="M50:M51"/>
    <mergeCell ref="N50:N51"/>
    <mergeCell ref="K52:K53"/>
    <mergeCell ref="L52:L53"/>
    <mergeCell ref="M52:M53"/>
    <mergeCell ref="N52:N53"/>
    <mergeCell ref="W52:W53"/>
    <mergeCell ref="X52:X53"/>
    <mergeCell ref="Y52:Y53"/>
    <mergeCell ref="Z52:Z53"/>
    <mergeCell ref="I42:I43"/>
    <mergeCell ref="AB48:AB49"/>
    <mergeCell ref="AH48:AH49"/>
    <mergeCell ref="D46:D47"/>
    <mergeCell ref="I46:I47"/>
    <mergeCell ref="J46:J47"/>
    <mergeCell ref="P46:P47"/>
    <mergeCell ref="V46:V47"/>
    <mergeCell ref="AB46:AB47"/>
    <mergeCell ref="K48:K49"/>
    <mergeCell ref="V40:V41"/>
    <mergeCell ref="AH42:AH43"/>
    <mergeCell ref="D44:D45"/>
    <mergeCell ref="I44:I45"/>
    <mergeCell ref="J44:J45"/>
    <mergeCell ref="P44:P45"/>
    <mergeCell ref="V44:V45"/>
    <mergeCell ref="AB44:AB45"/>
    <mergeCell ref="AH44:AH45"/>
    <mergeCell ref="D42:D43"/>
    <mergeCell ref="K44:K45"/>
    <mergeCell ref="L44:L45"/>
    <mergeCell ref="M44:M45"/>
    <mergeCell ref="N44:N45"/>
    <mergeCell ref="K46:K47"/>
    <mergeCell ref="L46:L47"/>
    <mergeCell ref="M46:M47"/>
    <mergeCell ref="N46:N47"/>
    <mergeCell ref="M48:M49"/>
    <mergeCell ref="N48:N49"/>
    <mergeCell ref="L48:L49"/>
    <mergeCell ref="C40:C41"/>
    <mergeCell ref="J42:J43"/>
    <mergeCell ref="P42:P43"/>
    <mergeCell ref="V42:V43"/>
    <mergeCell ref="AB42:AB43"/>
    <mergeCell ref="AH37:AH38"/>
    <mergeCell ref="D40:D41"/>
    <mergeCell ref="I40:I41"/>
    <mergeCell ref="J40:J41"/>
    <mergeCell ref="P40:P41"/>
    <mergeCell ref="AH35:AH36"/>
    <mergeCell ref="AB40:AB41"/>
    <mergeCell ref="AH40:AH41"/>
    <mergeCell ref="D37:D38"/>
    <mergeCell ref="J37:J38"/>
    <mergeCell ref="O37:O38"/>
    <mergeCell ref="P37:P38"/>
    <mergeCell ref="V37:V38"/>
    <mergeCell ref="AB37:AB38"/>
    <mergeCell ref="B39:AH39"/>
    <mergeCell ref="E37:E38"/>
    <mergeCell ref="F37:F38"/>
    <mergeCell ref="G37:G38"/>
    <mergeCell ref="H37:H38"/>
    <mergeCell ref="I37:I38"/>
    <mergeCell ref="K37:K38"/>
    <mergeCell ref="L37:L38"/>
    <mergeCell ref="M37:M38"/>
    <mergeCell ref="N37:N38"/>
    <mergeCell ref="Q37:Q38"/>
    <mergeCell ref="R37:R38"/>
    <mergeCell ref="S37:S38"/>
    <mergeCell ref="AH33:AH34"/>
    <mergeCell ref="D35:D36"/>
    <mergeCell ref="I35:I36"/>
    <mergeCell ref="J35:J36"/>
    <mergeCell ref="O35:O36"/>
    <mergeCell ref="P35:P36"/>
    <mergeCell ref="V35:V36"/>
    <mergeCell ref="AB35:AB36"/>
    <mergeCell ref="AH31:AH32"/>
    <mergeCell ref="D33:D34"/>
    <mergeCell ref="I33:I34"/>
    <mergeCell ref="J33:J34"/>
    <mergeCell ref="O33:O34"/>
    <mergeCell ref="P33:P34"/>
    <mergeCell ref="V33:V34"/>
    <mergeCell ref="Q33:Q34"/>
    <mergeCell ref="R33:R34"/>
    <mergeCell ref="S33:S34"/>
    <mergeCell ref="E33:E34"/>
    <mergeCell ref="F33:F34"/>
    <mergeCell ref="G33:G34"/>
    <mergeCell ref="H33:H34"/>
    <mergeCell ref="K33:K34"/>
    <mergeCell ref="L33:L34"/>
    <mergeCell ref="M33:M34"/>
    <mergeCell ref="N33:N34"/>
    <mergeCell ref="U33:U34"/>
    <mergeCell ref="W33:W34"/>
    <mergeCell ref="X33:X34"/>
    <mergeCell ref="Y33:Y34"/>
    <mergeCell ref="AH29:AH30"/>
    <mergeCell ref="D31:D32"/>
    <mergeCell ref="I31:I32"/>
    <mergeCell ref="J31:J32"/>
    <mergeCell ref="O31:O32"/>
    <mergeCell ref="P31:P32"/>
    <mergeCell ref="V31:V32"/>
    <mergeCell ref="AB31:AB32"/>
    <mergeCell ref="AH27:AH28"/>
    <mergeCell ref="D29:D30"/>
    <mergeCell ref="I29:I30"/>
    <mergeCell ref="J29:J30"/>
    <mergeCell ref="O29:O30"/>
    <mergeCell ref="P29:P30"/>
    <mergeCell ref="V29:V30"/>
    <mergeCell ref="E29:E30"/>
    <mergeCell ref="F29:F30"/>
    <mergeCell ref="G29:G30"/>
    <mergeCell ref="K29:K30"/>
    <mergeCell ref="L29:L30"/>
    <mergeCell ref="M29:M30"/>
    <mergeCell ref="N29:N30"/>
    <mergeCell ref="Q29:Q30"/>
    <mergeCell ref="R29:R30"/>
    <mergeCell ref="S29:S30"/>
    <mergeCell ref="T29:T30"/>
    <mergeCell ref="U29:U30"/>
    <mergeCell ref="W29:W30"/>
    <mergeCell ref="X29:X30"/>
    <mergeCell ref="Y29:Y30"/>
    <mergeCell ref="AH25:AH26"/>
    <mergeCell ref="D27:D28"/>
    <mergeCell ref="I27:I28"/>
    <mergeCell ref="J27:J28"/>
    <mergeCell ref="O27:O28"/>
    <mergeCell ref="P27:P28"/>
    <mergeCell ref="V27:V28"/>
    <mergeCell ref="AB27:AB28"/>
    <mergeCell ref="AH23:AH24"/>
    <mergeCell ref="D25:D26"/>
    <mergeCell ref="I25:I26"/>
    <mergeCell ref="J25:J26"/>
    <mergeCell ref="O25:O26"/>
    <mergeCell ref="P25:P26"/>
    <mergeCell ref="V25:V26"/>
    <mergeCell ref="Q25:Q26"/>
    <mergeCell ref="R25:R26"/>
    <mergeCell ref="S25:S26"/>
    <mergeCell ref="E25:E26"/>
    <mergeCell ref="F25:F26"/>
    <mergeCell ref="G25:G26"/>
    <mergeCell ref="H25:H26"/>
    <mergeCell ref="K25:K26"/>
    <mergeCell ref="L25:L26"/>
    <mergeCell ref="M25:M26"/>
    <mergeCell ref="N25:N26"/>
    <mergeCell ref="U25:U26"/>
    <mergeCell ref="W25:W26"/>
    <mergeCell ref="X25:X26"/>
    <mergeCell ref="Y25:Y26"/>
    <mergeCell ref="H21:H22"/>
    <mergeCell ref="AB21:AB22"/>
    <mergeCell ref="AH21:AH22"/>
    <mergeCell ref="D23:D24"/>
    <mergeCell ref="I23:I24"/>
    <mergeCell ref="J23:J24"/>
    <mergeCell ref="O23:O24"/>
    <mergeCell ref="P23:P24"/>
    <mergeCell ref="V23:V24"/>
    <mergeCell ref="AB23:AB24"/>
    <mergeCell ref="AH19:AH20"/>
    <mergeCell ref="L17:L18"/>
    <mergeCell ref="D21:D22"/>
    <mergeCell ref="I21:I22"/>
    <mergeCell ref="J21:J22"/>
    <mergeCell ref="O21:O22"/>
    <mergeCell ref="P21:P22"/>
    <mergeCell ref="V21:V22"/>
    <mergeCell ref="E21:E22"/>
    <mergeCell ref="F21:F22"/>
    <mergeCell ref="D19:D20"/>
    <mergeCell ref="I19:I20"/>
    <mergeCell ref="J19:J20"/>
    <mergeCell ref="O19:O20"/>
    <mergeCell ref="P19:P20"/>
    <mergeCell ref="V19:V20"/>
    <mergeCell ref="X17:X18"/>
    <mergeCell ref="Y17:Y18"/>
    <mergeCell ref="Z17:Z18"/>
    <mergeCell ref="AA17:AA18"/>
    <mergeCell ref="AC17:AC18"/>
    <mergeCell ref="AD17:AD18"/>
    <mergeCell ref="AB15:AB16"/>
    <mergeCell ref="AH15:AH16"/>
    <mergeCell ref="D17:D18"/>
    <mergeCell ref="I17:I18"/>
    <mergeCell ref="J17:J18"/>
    <mergeCell ref="O17:O18"/>
    <mergeCell ref="P17:P18"/>
    <mergeCell ref="V17:V18"/>
    <mergeCell ref="AB17:AB18"/>
    <mergeCell ref="AH17:AH18"/>
    <mergeCell ref="E11:J11"/>
    <mergeCell ref="K11:O11"/>
    <mergeCell ref="Q11:U11"/>
    <mergeCell ref="W11:AA11"/>
    <mergeCell ref="AC11:AG11"/>
    <mergeCell ref="D15:D16"/>
    <mergeCell ref="I15:I16"/>
    <mergeCell ref="J15:J16"/>
    <mergeCell ref="O15:O16"/>
    <mergeCell ref="P15:P16"/>
    <mergeCell ref="F17:F18"/>
    <mergeCell ref="G17:G18"/>
    <mergeCell ref="H17:H18"/>
    <mergeCell ref="K17:K18"/>
    <mergeCell ref="M17:M18"/>
    <mergeCell ref="N17:N18"/>
    <mergeCell ref="Q17:Q18"/>
    <mergeCell ref="R17:R18"/>
    <mergeCell ref="S17:S18"/>
    <mergeCell ref="T17:T18"/>
    <mergeCell ref="U17:U18"/>
    <mergeCell ref="W17:W18"/>
    <mergeCell ref="Y5:Y6"/>
    <mergeCell ref="E10:I10"/>
    <mergeCell ref="K10:P10"/>
    <mergeCell ref="Q10:V10"/>
    <mergeCell ref="W10:AA10"/>
    <mergeCell ref="AC10:AG10"/>
    <mergeCell ref="C171:C172"/>
    <mergeCell ref="B96:B101"/>
    <mergeCell ref="C163:C164"/>
    <mergeCell ref="B165:B170"/>
    <mergeCell ref="B159:B164"/>
    <mergeCell ref="C155:C156"/>
    <mergeCell ref="B153:B158"/>
    <mergeCell ref="B143:B145"/>
    <mergeCell ref="B108:C108"/>
    <mergeCell ref="C137:C138"/>
    <mergeCell ref="B83:B88"/>
    <mergeCell ref="B59:C60"/>
    <mergeCell ref="B95:C95"/>
    <mergeCell ref="B81:C81"/>
    <mergeCell ref="C42:C43"/>
    <mergeCell ref="B52:B57"/>
    <mergeCell ref="C44:C45"/>
    <mergeCell ref="B15:B20"/>
    <mergeCell ref="B76:C76"/>
    <mergeCell ref="B77:C77"/>
    <mergeCell ref="C83:C84"/>
    <mergeCell ref="C96:C97"/>
    <mergeCell ref="C100:C101"/>
    <mergeCell ref="C93:C94"/>
    <mergeCell ref="C106:C107"/>
    <mergeCell ref="C131:C132"/>
    <mergeCell ref="A74:A79"/>
    <mergeCell ref="B74:C75"/>
    <mergeCell ref="B80:AH80"/>
    <mergeCell ref="B73:AH73"/>
    <mergeCell ref="C91:C92"/>
    <mergeCell ref="B69:C70"/>
    <mergeCell ref="B27:B32"/>
    <mergeCell ref="C21:C22"/>
    <mergeCell ref="C25:C26"/>
    <mergeCell ref="C27:C28"/>
    <mergeCell ref="A59:A72"/>
    <mergeCell ref="B71:C72"/>
    <mergeCell ref="B65:C66"/>
    <mergeCell ref="B58:AH58"/>
    <mergeCell ref="C29:C30"/>
    <mergeCell ref="G21:G22"/>
    <mergeCell ref="C15:C16"/>
    <mergeCell ref="B46:B51"/>
    <mergeCell ref="B63:C64"/>
    <mergeCell ref="A15:A38"/>
    <mergeCell ref="B33:B38"/>
    <mergeCell ref="C33:C34"/>
    <mergeCell ref="C35:C36"/>
    <mergeCell ref="C37:C38"/>
    <mergeCell ref="A40:A57"/>
    <mergeCell ref="B21:B26"/>
    <mergeCell ref="C54:C55"/>
    <mergeCell ref="C17:C18"/>
    <mergeCell ref="C19:C20"/>
    <mergeCell ref="C23:C24"/>
    <mergeCell ref="B61:C62"/>
    <mergeCell ref="B40:B45"/>
    <mergeCell ref="A4:C4"/>
    <mergeCell ref="B10:B12"/>
    <mergeCell ref="C10:C12"/>
    <mergeCell ref="A5:B5"/>
    <mergeCell ref="A6:B6"/>
    <mergeCell ref="B109:C109"/>
    <mergeCell ref="C85:C86"/>
    <mergeCell ref="C89:C90"/>
    <mergeCell ref="C31:C32"/>
    <mergeCell ref="C98:C99"/>
    <mergeCell ref="C46:C47"/>
    <mergeCell ref="C56:C57"/>
    <mergeCell ref="C50:C51"/>
    <mergeCell ref="C48:C49"/>
    <mergeCell ref="C52:C53"/>
    <mergeCell ref="A125:A151"/>
    <mergeCell ref="A109:A123"/>
    <mergeCell ref="B89:B94"/>
    <mergeCell ref="C135:C136"/>
    <mergeCell ref="C127:C128"/>
    <mergeCell ref="C148:C149"/>
    <mergeCell ref="C139:C140"/>
    <mergeCell ref="B102:B107"/>
    <mergeCell ref="C102:C103"/>
    <mergeCell ref="C104:C105"/>
    <mergeCell ref="C141:C142"/>
    <mergeCell ref="C116:C117"/>
    <mergeCell ref="C129:C130"/>
    <mergeCell ref="B67:C68"/>
    <mergeCell ref="A82:A107"/>
    <mergeCell ref="C87:C88"/>
    <mergeCell ref="B78:C79"/>
    <mergeCell ref="C125:C126"/>
    <mergeCell ref="B110:C111"/>
    <mergeCell ref="B112:B117"/>
    <mergeCell ref="C114:C115"/>
    <mergeCell ref="C122:C123"/>
    <mergeCell ref="B118:B123"/>
    <mergeCell ref="C112:C113"/>
    <mergeCell ref="C146:C147"/>
    <mergeCell ref="C118:C119"/>
    <mergeCell ref="C120:C121"/>
    <mergeCell ref="C153:C154"/>
    <mergeCell ref="B125:B130"/>
    <mergeCell ref="B131:B136"/>
    <mergeCell ref="B137:B142"/>
    <mergeCell ref="C133:C134"/>
    <mergeCell ref="B146:B151"/>
    <mergeCell ref="C150:C151"/>
    <mergeCell ref="A196:A211"/>
    <mergeCell ref="B202:B207"/>
    <mergeCell ref="B215:C216"/>
    <mergeCell ref="A226:A235"/>
    <mergeCell ref="B226:C227"/>
    <mergeCell ref="B228:C229"/>
    <mergeCell ref="B230:C231"/>
    <mergeCell ref="B213:C214"/>
    <mergeCell ref="B200:C201"/>
    <mergeCell ref="C206:C207"/>
    <mergeCell ref="A190:A193"/>
    <mergeCell ref="B192:C193"/>
    <mergeCell ref="C202:C203"/>
    <mergeCell ref="B198:C199"/>
    <mergeCell ref="C204:C205"/>
    <mergeCell ref="C157:C158"/>
    <mergeCell ref="C183:C184"/>
    <mergeCell ref="B196:C197"/>
    <mergeCell ref="C167:C168"/>
    <mergeCell ref="C173:C174"/>
    <mergeCell ref="C175:C176"/>
    <mergeCell ref="C169:C170"/>
    <mergeCell ref="C187:C188"/>
    <mergeCell ref="B208:C209"/>
    <mergeCell ref="B217:C218"/>
    <mergeCell ref="B222:B223"/>
    <mergeCell ref="A237:A254"/>
    <mergeCell ref="B237:B242"/>
    <mergeCell ref="C241:C242"/>
    <mergeCell ref="C243:C244"/>
    <mergeCell ref="C245:C246"/>
    <mergeCell ref="B232:C233"/>
    <mergeCell ref="B249:B254"/>
    <mergeCell ref="C249:C250"/>
    <mergeCell ref="A222:A223"/>
    <mergeCell ref="C253:C254"/>
    <mergeCell ref="B210:C211"/>
    <mergeCell ref="C247:C248"/>
    <mergeCell ref="B243:B248"/>
    <mergeCell ref="C251:C252"/>
    <mergeCell ref="C239:C240"/>
    <mergeCell ref="A213:A218"/>
    <mergeCell ref="B234:C235"/>
    <mergeCell ref="A153:A188"/>
    <mergeCell ref="C179:C180"/>
    <mergeCell ref="C161:C162"/>
    <mergeCell ref="C185:C186"/>
    <mergeCell ref="C181:C182"/>
    <mergeCell ref="B183:B188"/>
    <mergeCell ref="C159:C160"/>
    <mergeCell ref="C165:C166"/>
    <mergeCell ref="C177:C178"/>
    <mergeCell ref="B177:B182"/>
    <mergeCell ref="D157:D158"/>
    <mergeCell ref="D159:D160"/>
    <mergeCell ref="D161:D162"/>
    <mergeCell ref="D163:D164"/>
    <mergeCell ref="D165:D166"/>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253:D254"/>
    <mergeCell ref="D237:D238"/>
    <mergeCell ref="D239:D240"/>
    <mergeCell ref="D241:D242"/>
    <mergeCell ref="D243:D244"/>
    <mergeCell ref="D245:D246"/>
    <mergeCell ref="D247:D248"/>
    <mergeCell ref="D198:D199"/>
    <mergeCell ref="D208:D209"/>
    <mergeCell ref="B225:AH225"/>
    <mergeCell ref="E173:E174"/>
    <mergeCell ref="F173:F174"/>
    <mergeCell ref="G173:G174"/>
    <mergeCell ref="H173:H174"/>
    <mergeCell ref="E175:E176"/>
    <mergeCell ref="F175:F176"/>
    <mergeCell ref="G175:G176"/>
    <mergeCell ref="H175:H176"/>
    <mergeCell ref="E177:E178"/>
    <mergeCell ref="F177:F178"/>
    <mergeCell ref="D177:D178"/>
    <mergeCell ref="B190:C191"/>
    <mergeCell ref="B171:B176"/>
    <mergeCell ref="C222:C223"/>
    <mergeCell ref="J177:J178"/>
    <mergeCell ref="P177:P178"/>
    <mergeCell ref="V177:V178"/>
    <mergeCell ref="AB177:AB178"/>
    <mergeCell ref="AH177:AH178"/>
    <mergeCell ref="J179:J180"/>
    <mergeCell ref="P179:P180"/>
    <mergeCell ref="V179:V180"/>
    <mergeCell ref="AD15:AD16"/>
    <mergeCell ref="AE15:AE16"/>
    <mergeCell ref="AF15:AF16"/>
    <mergeCell ref="AG15:AG16"/>
    <mergeCell ref="E17:E18"/>
    <mergeCell ref="D181:D182"/>
    <mergeCell ref="D183:D184"/>
    <mergeCell ref="D185:D186"/>
    <mergeCell ref="D187:D188"/>
    <mergeCell ref="D190:D191"/>
    <mergeCell ref="D167:D168"/>
    <mergeCell ref="D169:D170"/>
    <mergeCell ref="D171:D172"/>
    <mergeCell ref="D173:D174"/>
    <mergeCell ref="D175:D176"/>
    <mergeCell ref="D249:D250"/>
    <mergeCell ref="D251:D252"/>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AD19:AD20"/>
    <mergeCell ref="AE19:AE20"/>
    <mergeCell ref="AF19:AF20"/>
    <mergeCell ref="AG19:AG20"/>
    <mergeCell ref="AB19:AB20"/>
    <mergeCell ref="A2:T2"/>
    <mergeCell ref="A3:N3"/>
    <mergeCell ref="A7:R7"/>
    <mergeCell ref="A8:R8"/>
    <mergeCell ref="B152:AH152"/>
    <mergeCell ref="D192:D193"/>
    <mergeCell ref="D179:D180"/>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A15:AA16"/>
    <mergeCell ref="V15:V16"/>
    <mergeCell ref="AC15:AC16"/>
    <mergeCell ref="T21:T22"/>
    <mergeCell ref="U21:U22"/>
    <mergeCell ref="W21:W22"/>
    <mergeCell ref="X21:X22"/>
    <mergeCell ref="Y21:Y22"/>
    <mergeCell ref="Z21:Z22"/>
    <mergeCell ref="AA21:AA22"/>
    <mergeCell ref="AC21:AC22"/>
    <mergeCell ref="AD21:AD22"/>
    <mergeCell ref="AE21:AE22"/>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K21:K22"/>
    <mergeCell ref="L21:L22"/>
    <mergeCell ref="M21:M22"/>
    <mergeCell ref="N21:N22"/>
    <mergeCell ref="Q21:Q22"/>
    <mergeCell ref="R21:R22"/>
    <mergeCell ref="S21:S22"/>
    <mergeCell ref="Z25:Z26"/>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T25:T26"/>
    <mergeCell ref="AB25:AB26"/>
    <mergeCell ref="Z29:Z30"/>
    <mergeCell ref="AA29:AA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H29:H30"/>
    <mergeCell ref="AB29:AB30"/>
    <mergeCell ref="Z33:Z34"/>
    <mergeCell ref="AA33:AA34"/>
    <mergeCell ref="AC33:AC34"/>
    <mergeCell ref="AD33:AD34"/>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T33:T34"/>
    <mergeCell ref="AB33:AB34"/>
    <mergeCell ref="T37:T38"/>
    <mergeCell ref="U37:U38"/>
    <mergeCell ref="W37:W38"/>
    <mergeCell ref="X37:X38"/>
    <mergeCell ref="Y37:Y38"/>
    <mergeCell ref="Z37:Z38"/>
    <mergeCell ref="AA37:AA38"/>
    <mergeCell ref="AC37:AC38"/>
    <mergeCell ref="AD37:AD38"/>
    <mergeCell ref="AE37:AE38"/>
    <mergeCell ref="AF37:AF38"/>
    <mergeCell ref="AG37:AG38"/>
    <mergeCell ref="K40:K41"/>
    <mergeCell ref="L40:L41"/>
    <mergeCell ref="M40:M41"/>
    <mergeCell ref="N40:N41"/>
    <mergeCell ref="K42:K43"/>
    <mergeCell ref="L42:L43"/>
    <mergeCell ref="M42:M43"/>
    <mergeCell ref="N42:N43"/>
    <mergeCell ref="M54:M55"/>
    <mergeCell ref="N54:N55"/>
    <mergeCell ref="M56:M57"/>
    <mergeCell ref="N56:N57"/>
    <mergeCell ref="Q40:Q41"/>
    <mergeCell ref="R40:R41"/>
    <mergeCell ref="S40:S41"/>
    <mergeCell ref="T40:T41"/>
    <mergeCell ref="Q42:Q43"/>
    <mergeCell ref="R42:R43"/>
    <mergeCell ref="S42:S43"/>
    <mergeCell ref="T42:T43"/>
    <mergeCell ref="Q44:Q45"/>
    <mergeCell ref="R44:R45"/>
    <mergeCell ref="S44:S45"/>
    <mergeCell ref="T44:T45"/>
    <mergeCell ref="Q46:Q47"/>
    <mergeCell ref="R46:R47"/>
    <mergeCell ref="S46:S47"/>
    <mergeCell ref="T46:T47"/>
    <mergeCell ref="Q48:Q49"/>
    <mergeCell ref="R48:R49"/>
    <mergeCell ref="S48:S49"/>
    <mergeCell ref="T48:T49"/>
    <mergeCell ref="Q50:Q51"/>
    <mergeCell ref="R50:R51"/>
    <mergeCell ref="S50:S51"/>
    <mergeCell ref="T50:T51"/>
    <mergeCell ref="Q52:Q53"/>
    <mergeCell ref="R52:R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Y40:Y41"/>
    <mergeCell ref="Z40:Z41"/>
    <mergeCell ref="W42:W43"/>
    <mergeCell ref="X42:X43"/>
    <mergeCell ref="Y42:Y43"/>
    <mergeCell ref="Z42:Z43"/>
    <mergeCell ref="Y44:Y45"/>
    <mergeCell ref="Z44:Z45"/>
    <mergeCell ref="W46:W47"/>
    <mergeCell ref="X46:X47"/>
    <mergeCell ref="Y46:Y47"/>
    <mergeCell ref="Z46:Z47"/>
    <mergeCell ref="Y48:Y49"/>
    <mergeCell ref="Z48:Z49"/>
    <mergeCell ref="W50:W51"/>
    <mergeCell ref="X50:X51"/>
    <mergeCell ref="Y50:Y51"/>
    <mergeCell ref="Z50:Z51"/>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E40:E41"/>
    <mergeCell ref="F40:F41"/>
    <mergeCell ref="G40:G41"/>
    <mergeCell ref="H40:H41"/>
    <mergeCell ref="E42:E43"/>
    <mergeCell ref="F42:F43"/>
    <mergeCell ref="G42:G43"/>
    <mergeCell ref="H42:H43"/>
    <mergeCell ref="E44:E45"/>
    <mergeCell ref="F44:F45"/>
    <mergeCell ref="G44:G45"/>
    <mergeCell ref="H44:H45"/>
    <mergeCell ref="E46:E47"/>
    <mergeCell ref="F46:F47"/>
    <mergeCell ref="G46:G47"/>
    <mergeCell ref="H46:H47"/>
    <mergeCell ref="E48:E49"/>
    <mergeCell ref="F48:F49"/>
    <mergeCell ref="G48:G49"/>
    <mergeCell ref="H48:H49"/>
    <mergeCell ref="E50:E51"/>
    <mergeCell ref="F50:F51"/>
    <mergeCell ref="G50:G51"/>
    <mergeCell ref="H50:H51"/>
    <mergeCell ref="E52:E53"/>
    <mergeCell ref="F52:F53"/>
    <mergeCell ref="G52:G53"/>
    <mergeCell ref="H52:H53"/>
    <mergeCell ref="E54:E55"/>
    <mergeCell ref="F54:F55"/>
    <mergeCell ref="G54:G55"/>
    <mergeCell ref="H54:H55"/>
    <mergeCell ref="E56:E57"/>
    <mergeCell ref="F56:F57"/>
    <mergeCell ref="G56:G57"/>
    <mergeCell ref="H56:H57"/>
    <mergeCell ref="K59:K60"/>
    <mergeCell ref="L59:L60"/>
    <mergeCell ref="M59:M60"/>
    <mergeCell ref="N59:N60"/>
    <mergeCell ref="K61:K62"/>
    <mergeCell ref="L61:L62"/>
    <mergeCell ref="M61:M62"/>
    <mergeCell ref="N61:N62"/>
    <mergeCell ref="E59:E60"/>
    <mergeCell ref="F59:F60"/>
    <mergeCell ref="G59:G60"/>
    <mergeCell ref="H59:H60"/>
    <mergeCell ref="E61:E62"/>
    <mergeCell ref="F61:F62"/>
    <mergeCell ref="G61:G62"/>
    <mergeCell ref="H61:H62"/>
    <mergeCell ref="E63:E64"/>
    <mergeCell ref="F63:F64"/>
    <mergeCell ref="G63:G64"/>
    <mergeCell ref="H63:H64"/>
    <mergeCell ref="Q59:Q60"/>
    <mergeCell ref="R59:R60"/>
    <mergeCell ref="Q63:Q64"/>
    <mergeCell ref="R63:R64"/>
    <mergeCell ref="Q67:Q68"/>
    <mergeCell ref="R67:R68"/>
    <mergeCell ref="S59:S60"/>
    <mergeCell ref="T59:T60"/>
    <mergeCell ref="Q61:Q62"/>
    <mergeCell ref="R61:R62"/>
    <mergeCell ref="S61:S62"/>
    <mergeCell ref="T61:T62"/>
    <mergeCell ref="S63:S64"/>
    <mergeCell ref="T63:T64"/>
    <mergeCell ref="Q65:Q66"/>
    <mergeCell ref="R65:R66"/>
    <mergeCell ref="S65:S66"/>
    <mergeCell ref="T65:T66"/>
    <mergeCell ref="S67:S68"/>
    <mergeCell ref="T67:T68"/>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K93:K94"/>
    <mergeCell ref="L93:L94"/>
    <mergeCell ref="M93:M94"/>
    <mergeCell ref="N93:N94"/>
    <mergeCell ref="Q93:Q94"/>
    <mergeCell ref="R93:R94"/>
    <mergeCell ref="S93:S94"/>
    <mergeCell ref="T93:T94"/>
    <mergeCell ref="W93:W94"/>
    <mergeCell ref="X93:X94"/>
    <mergeCell ref="Y93:Y94"/>
    <mergeCell ref="Z93:Z94"/>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X83:X84"/>
    <mergeCell ref="Y83:Y84"/>
    <mergeCell ref="Z83:Z84"/>
    <mergeCell ref="W85:W86"/>
    <mergeCell ref="H102:H103"/>
    <mergeCell ref="E104:E105"/>
    <mergeCell ref="F104:F105"/>
    <mergeCell ref="G104:G105"/>
    <mergeCell ref="H104:H105"/>
    <mergeCell ref="E106:E107"/>
    <mergeCell ref="F106:F107"/>
    <mergeCell ref="G106:G107"/>
    <mergeCell ref="H106:H107"/>
    <mergeCell ref="K96:K97"/>
    <mergeCell ref="L96:L97"/>
    <mergeCell ref="K100:K101"/>
    <mergeCell ref="L100:L101"/>
    <mergeCell ref="K104:K105"/>
    <mergeCell ref="L104:L105"/>
    <mergeCell ref="M96:M97"/>
    <mergeCell ref="N96:N97"/>
    <mergeCell ref="K98:K99"/>
    <mergeCell ref="L98:L99"/>
    <mergeCell ref="M98:M99"/>
    <mergeCell ref="N98:N99"/>
    <mergeCell ref="M100:M101"/>
    <mergeCell ref="N100:N101"/>
    <mergeCell ref="K102:K103"/>
    <mergeCell ref="L102:L103"/>
    <mergeCell ref="M102:M103"/>
    <mergeCell ref="N102:N103"/>
    <mergeCell ref="M104:M105"/>
    <mergeCell ref="N104:N105"/>
    <mergeCell ref="K106:K107"/>
    <mergeCell ref="L106:L107"/>
    <mergeCell ref="M106:M107"/>
    <mergeCell ref="Z102:Z103"/>
    <mergeCell ref="W104:W105"/>
    <mergeCell ref="X104:X105"/>
    <mergeCell ref="Y104:Y105"/>
    <mergeCell ref="Z104:Z105"/>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N110:N111"/>
    <mergeCell ref="M112:M113"/>
    <mergeCell ref="N112:N113"/>
    <mergeCell ref="M114:M115"/>
    <mergeCell ref="N114:N115"/>
    <mergeCell ref="M116:M117"/>
    <mergeCell ref="N116:N117"/>
    <mergeCell ref="Q110:Q111"/>
    <mergeCell ref="R110:R111"/>
    <mergeCell ref="Q114:Q115"/>
    <mergeCell ref="R114:R115"/>
    <mergeCell ref="W110:W111"/>
    <mergeCell ref="X110:X111"/>
    <mergeCell ref="W114:W115"/>
    <mergeCell ref="AC96:AC97"/>
    <mergeCell ref="AD96:AD97"/>
    <mergeCell ref="AE96:AE97"/>
    <mergeCell ref="W96:W97"/>
    <mergeCell ref="X96:X97"/>
    <mergeCell ref="Y96:Y97"/>
    <mergeCell ref="Z96:Z97"/>
    <mergeCell ref="W98:W99"/>
    <mergeCell ref="X98:X99"/>
    <mergeCell ref="Y98:Y99"/>
    <mergeCell ref="Z98:Z99"/>
    <mergeCell ref="W100:W101"/>
    <mergeCell ref="X100:X101"/>
    <mergeCell ref="Y100:Y101"/>
    <mergeCell ref="Z100:Z101"/>
    <mergeCell ref="W102:W103"/>
    <mergeCell ref="X102:X103"/>
    <mergeCell ref="Y102:Y103"/>
    <mergeCell ref="K110:K111"/>
    <mergeCell ref="L110:L111"/>
    <mergeCell ref="K114:K115"/>
    <mergeCell ref="L114:L115"/>
    <mergeCell ref="K118:K119"/>
    <mergeCell ref="L118:L119"/>
    <mergeCell ref="K112:K113"/>
    <mergeCell ref="L112:L113"/>
    <mergeCell ref="K116:K117"/>
    <mergeCell ref="L116:L117"/>
    <mergeCell ref="K120:K121"/>
    <mergeCell ref="L120:L121"/>
    <mergeCell ref="K122:K123"/>
    <mergeCell ref="L122:L123"/>
    <mergeCell ref="AF106:AF107"/>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M110:M111"/>
    <mergeCell ref="S118:S119"/>
    <mergeCell ref="T118:T119"/>
    <mergeCell ref="Q120:Q121"/>
    <mergeCell ref="R120:R121"/>
    <mergeCell ref="S120:S121"/>
    <mergeCell ref="T120:T121"/>
    <mergeCell ref="E118:E119"/>
    <mergeCell ref="F118:F119"/>
    <mergeCell ref="G118:G119"/>
    <mergeCell ref="H118:H119"/>
    <mergeCell ref="E120:E121"/>
    <mergeCell ref="F120:F121"/>
    <mergeCell ref="G120:G121"/>
    <mergeCell ref="H120:H121"/>
    <mergeCell ref="E122:E123"/>
    <mergeCell ref="F122:F123"/>
    <mergeCell ref="G122:G123"/>
    <mergeCell ref="H122:H123"/>
    <mergeCell ref="AD120:AD121"/>
    <mergeCell ref="AE120:AE121"/>
    <mergeCell ref="AF120:AF121"/>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K131:K132"/>
    <mergeCell ref="L131:L132"/>
    <mergeCell ref="M131:M132"/>
    <mergeCell ref="N131:N132"/>
    <mergeCell ref="Q127:Q128"/>
    <mergeCell ref="R127:R128"/>
    <mergeCell ref="Q131:Q132"/>
    <mergeCell ref="R131:R132"/>
    <mergeCell ref="W120:W121"/>
    <mergeCell ref="X120:X121"/>
    <mergeCell ref="Y120:Y121"/>
    <mergeCell ref="Z120:Z121"/>
    <mergeCell ref="W122:W123"/>
    <mergeCell ref="X122:X123"/>
    <mergeCell ref="Y122:Y123"/>
    <mergeCell ref="Z122:Z123"/>
    <mergeCell ref="AC110:AC111"/>
    <mergeCell ref="AC120:AC121"/>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E139:E140"/>
    <mergeCell ref="F139:F140"/>
    <mergeCell ref="G139:G140"/>
    <mergeCell ref="H139:H140"/>
    <mergeCell ref="E141:E142"/>
    <mergeCell ref="F141:F142"/>
    <mergeCell ref="G141:G142"/>
    <mergeCell ref="H141:H142"/>
    <mergeCell ref="AC122:AC123"/>
    <mergeCell ref="AD122:AD123"/>
    <mergeCell ref="AE122:AE123"/>
    <mergeCell ref="AF122:AF123"/>
    <mergeCell ref="E127:E128"/>
    <mergeCell ref="F127:F128"/>
    <mergeCell ref="G127:G128"/>
    <mergeCell ref="H127:H128"/>
    <mergeCell ref="M127:M128"/>
    <mergeCell ref="N127:N128"/>
    <mergeCell ref="E129:E130"/>
    <mergeCell ref="F129:F130"/>
    <mergeCell ref="G129:G130"/>
    <mergeCell ref="H129:H130"/>
    <mergeCell ref="E131:E132"/>
    <mergeCell ref="F131:F132"/>
    <mergeCell ref="G131:G132"/>
    <mergeCell ref="H131:H132"/>
    <mergeCell ref="K127:K128"/>
    <mergeCell ref="L127:L128"/>
    <mergeCell ref="K129:K130"/>
    <mergeCell ref="L129:L130"/>
    <mergeCell ref="M129:M130"/>
    <mergeCell ref="N129:N130"/>
    <mergeCell ref="S133:S134"/>
    <mergeCell ref="T133:T134"/>
    <mergeCell ref="S135:S136"/>
    <mergeCell ref="T135:T136"/>
    <mergeCell ref="Q137:Q138"/>
    <mergeCell ref="R137:R138"/>
    <mergeCell ref="S137:S138"/>
    <mergeCell ref="T137:T138"/>
    <mergeCell ref="E133:E134"/>
    <mergeCell ref="F133:F134"/>
    <mergeCell ref="G133:G134"/>
    <mergeCell ref="H133:H134"/>
    <mergeCell ref="E135:E136"/>
    <mergeCell ref="F135:F136"/>
    <mergeCell ref="G135:G136"/>
    <mergeCell ref="H135:H136"/>
    <mergeCell ref="E137:E138"/>
    <mergeCell ref="F137:F138"/>
    <mergeCell ref="G137:G138"/>
    <mergeCell ref="H137:H138"/>
    <mergeCell ref="J133:J134"/>
    <mergeCell ref="P133:P134"/>
    <mergeCell ref="S139:S140"/>
    <mergeCell ref="T139:T140"/>
    <mergeCell ref="Q141:Q142"/>
    <mergeCell ref="R141:R142"/>
    <mergeCell ref="S141:S142"/>
    <mergeCell ref="T141:T142"/>
    <mergeCell ref="E125:E126"/>
    <mergeCell ref="F125:F126"/>
    <mergeCell ref="G125:G126"/>
    <mergeCell ref="H125:H126"/>
    <mergeCell ref="J125:J126"/>
    <mergeCell ref="K125:K126"/>
    <mergeCell ref="L125:L126"/>
    <mergeCell ref="M125:M126"/>
    <mergeCell ref="P125:P126"/>
    <mergeCell ref="Q125:Q126"/>
    <mergeCell ref="R125:R126"/>
    <mergeCell ref="S125:S126"/>
    <mergeCell ref="N125:N126"/>
    <mergeCell ref="T125:T126"/>
    <mergeCell ref="Q135:Q136"/>
    <mergeCell ref="R135:R136"/>
    <mergeCell ref="S127:S128"/>
    <mergeCell ref="T127:T128"/>
    <mergeCell ref="Q129:Q130"/>
    <mergeCell ref="R129:R130"/>
    <mergeCell ref="S129:S130"/>
    <mergeCell ref="T129:T130"/>
    <mergeCell ref="S131:S132"/>
    <mergeCell ref="T131:T132"/>
    <mergeCell ref="Q133:Q134"/>
    <mergeCell ref="R133:R134"/>
    <mergeCell ref="V125:V126"/>
    <mergeCell ref="W125:W126"/>
    <mergeCell ref="X125:X126"/>
    <mergeCell ref="Y125:Y126"/>
    <mergeCell ref="Z125:Z126"/>
    <mergeCell ref="AB125:AB126"/>
    <mergeCell ref="AC125:AC126"/>
    <mergeCell ref="AD125:AD126"/>
    <mergeCell ref="AE125:AE126"/>
    <mergeCell ref="AF125:AF126"/>
    <mergeCell ref="K190:K191"/>
    <mergeCell ref="L190:L191"/>
    <mergeCell ref="M190:M191"/>
    <mergeCell ref="N190:N191"/>
    <mergeCell ref="S190:S191"/>
    <mergeCell ref="W127:W128"/>
    <mergeCell ref="X127:X128"/>
    <mergeCell ref="Y127:Y128"/>
    <mergeCell ref="Z127:Z128"/>
    <mergeCell ref="W129:W130"/>
    <mergeCell ref="X129:X130"/>
    <mergeCell ref="Y129:Y130"/>
    <mergeCell ref="Z129:Z130"/>
    <mergeCell ref="W131:W132"/>
    <mergeCell ref="X131:X132"/>
    <mergeCell ref="Y131:Y132"/>
    <mergeCell ref="Z131:Z132"/>
    <mergeCell ref="W133:W134"/>
    <mergeCell ref="X133:X134"/>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W141:W142"/>
    <mergeCell ref="X141:X142"/>
    <mergeCell ref="Y141:Y142"/>
    <mergeCell ref="Z141:Z142"/>
    <mergeCell ref="AH139:AH140"/>
    <mergeCell ref="AH137:AH138"/>
    <mergeCell ref="AH135:AH136"/>
    <mergeCell ref="AC135:AC136"/>
    <mergeCell ref="AD135:AD136"/>
    <mergeCell ref="AE135:AE136"/>
    <mergeCell ref="AF135:AF136"/>
    <mergeCell ref="AC137:AC138"/>
    <mergeCell ref="AD137:AD138"/>
    <mergeCell ref="AE137:AE138"/>
    <mergeCell ref="AF137:AF138"/>
    <mergeCell ref="AC139:AC140"/>
    <mergeCell ref="AD139:AD140"/>
    <mergeCell ref="AE139:AE140"/>
    <mergeCell ref="AF139:AF140"/>
    <mergeCell ref="AC141:AC142"/>
    <mergeCell ref="AD141:AD142"/>
    <mergeCell ref="AH133:AH134"/>
    <mergeCell ref="AH131:AH132"/>
    <mergeCell ref="AH129:AH130"/>
    <mergeCell ref="AH125:AH126"/>
    <mergeCell ref="AC127:AC128"/>
    <mergeCell ref="AD127:AD128"/>
    <mergeCell ref="AE127:AE128"/>
    <mergeCell ref="AF127:AF128"/>
    <mergeCell ref="AC129:AC130"/>
    <mergeCell ref="AD129:AD130"/>
    <mergeCell ref="AE129:AE130"/>
    <mergeCell ref="AF129:AF130"/>
    <mergeCell ref="AC131:AC132"/>
    <mergeCell ref="AD131:AD132"/>
    <mergeCell ref="AE131:AE132"/>
    <mergeCell ref="AF131:AF132"/>
    <mergeCell ref="AC133:AC134"/>
    <mergeCell ref="AD133:AD134"/>
    <mergeCell ref="AE133:AE134"/>
    <mergeCell ref="AF133:AF134"/>
    <mergeCell ref="AE141:AE142"/>
    <mergeCell ref="AF141:AF142"/>
    <mergeCell ref="M146:M147"/>
    <mergeCell ref="N146:N147"/>
    <mergeCell ref="K148:K149"/>
    <mergeCell ref="L148:L149"/>
    <mergeCell ref="M148:M149"/>
    <mergeCell ref="N148:N149"/>
    <mergeCell ref="K150:K151"/>
    <mergeCell ref="L150:L151"/>
    <mergeCell ref="M150:M151"/>
    <mergeCell ref="N150:N151"/>
    <mergeCell ref="Q146:Q147"/>
    <mergeCell ref="R146:R147"/>
    <mergeCell ref="Q150:Q151"/>
    <mergeCell ref="R150:R151"/>
    <mergeCell ref="K146:K147"/>
    <mergeCell ref="L146:L147"/>
    <mergeCell ref="S146:S147"/>
    <mergeCell ref="T146:T147"/>
    <mergeCell ref="Q148:Q149"/>
    <mergeCell ref="R148:R149"/>
    <mergeCell ref="S148:S149"/>
    <mergeCell ref="T148:T149"/>
    <mergeCell ref="S150:S151"/>
    <mergeCell ref="T150:T151"/>
    <mergeCell ref="W146:W147"/>
    <mergeCell ref="X146:X147"/>
    <mergeCell ref="Y146:Y147"/>
    <mergeCell ref="Z146:Z147"/>
    <mergeCell ref="W148:W149"/>
    <mergeCell ref="X148:X149"/>
    <mergeCell ref="AC146:AC147"/>
    <mergeCell ref="AD146:AD147"/>
    <mergeCell ref="AC150:AC151"/>
    <mergeCell ref="AD150:AD151"/>
    <mergeCell ref="AE146:AE147"/>
    <mergeCell ref="AF146:AF147"/>
    <mergeCell ref="AC148:AC149"/>
    <mergeCell ref="AD148:AD149"/>
    <mergeCell ref="AE148:AE149"/>
    <mergeCell ref="AF148:AF149"/>
    <mergeCell ref="AE150:AE151"/>
    <mergeCell ref="AF150:AF151"/>
    <mergeCell ref="E146:E147"/>
    <mergeCell ref="F146:F147"/>
    <mergeCell ref="G146:G147"/>
    <mergeCell ref="H146:H147"/>
    <mergeCell ref="E148:E149"/>
    <mergeCell ref="F148:F149"/>
    <mergeCell ref="G148:G149"/>
    <mergeCell ref="H148:H149"/>
    <mergeCell ref="E150:E151"/>
    <mergeCell ref="F150:F151"/>
    <mergeCell ref="G150:G151"/>
    <mergeCell ref="H150:H151"/>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61:E162"/>
    <mergeCell ref="F161:F162"/>
    <mergeCell ref="G161:G162"/>
    <mergeCell ref="H161:H162"/>
    <mergeCell ref="E183:E184"/>
    <mergeCell ref="F183:F184"/>
    <mergeCell ref="G183:G184"/>
    <mergeCell ref="H183:H184"/>
    <mergeCell ref="E185:E186"/>
    <mergeCell ref="F185:F186"/>
    <mergeCell ref="G185:G186"/>
    <mergeCell ref="H185:H186"/>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87:E188"/>
    <mergeCell ref="F187:F188"/>
    <mergeCell ref="G187:G188"/>
    <mergeCell ref="H187:H188"/>
    <mergeCell ref="K153:K154"/>
    <mergeCell ref="K155:K156"/>
    <mergeCell ref="K157:K158"/>
    <mergeCell ref="K159:K160"/>
    <mergeCell ref="K161:K162"/>
    <mergeCell ref="K163:K164"/>
    <mergeCell ref="K165:K166"/>
    <mergeCell ref="K167:K168"/>
    <mergeCell ref="K169:K170"/>
    <mergeCell ref="K171:K172"/>
    <mergeCell ref="K173:K174"/>
    <mergeCell ref="K175:K176"/>
    <mergeCell ref="K177:K178"/>
    <mergeCell ref="K179:K180"/>
    <mergeCell ref="K181:K182"/>
    <mergeCell ref="K183:K184"/>
    <mergeCell ref="K185:K186"/>
    <mergeCell ref="K187:K188"/>
    <mergeCell ref="G177:G178"/>
    <mergeCell ref="H177:H178"/>
    <mergeCell ref="E179:E180"/>
    <mergeCell ref="F179:F180"/>
    <mergeCell ref="G179:G180"/>
    <mergeCell ref="H179:H180"/>
    <mergeCell ref="E181:E182"/>
    <mergeCell ref="F181:F182"/>
    <mergeCell ref="G181:G182"/>
    <mergeCell ref="H181:H182"/>
    <mergeCell ref="Q153:Q154"/>
    <mergeCell ref="R153:R154"/>
    <mergeCell ref="S153:S154"/>
    <mergeCell ref="T153:T154"/>
    <mergeCell ref="Q155:Q156"/>
    <mergeCell ref="R155:R156"/>
    <mergeCell ref="S155:S156"/>
    <mergeCell ref="T155:T156"/>
    <mergeCell ref="Q157:Q158"/>
    <mergeCell ref="R157:R158"/>
    <mergeCell ref="S157:S158"/>
    <mergeCell ref="T157:T158"/>
    <mergeCell ref="Q159:Q160"/>
    <mergeCell ref="R159:R160"/>
    <mergeCell ref="S159:S160"/>
    <mergeCell ref="T159:T160"/>
    <mergeCell ref="Q161:Q162"/>
    <mergeCell ref="R161:R162"/>
    <mergeCell ref="S161:S162"/>
    <mergeCell ref="T161:T162"/>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K192:K193"/>
    <mergeCell ref="L192:L193"/>
    <mergeCell ref="M192:M193"/>
    <mergeCell ref="N192:N193"/>
    <mergeCell ref="Q190:Q191"/>
    <mergeCell ref="R190:R191"/>
    <mergeCell ref="T190:T191"/>
    <mergeCell ref="Q192:Q193"/>
    <mergeCell ref="R192:R193"/>
    <mergeCell ref="S192:S193"/>
    <mergeCell ref="T192:T193"/>
    <mergeCell ref="W190:W191"/>
    <mergeCell ref="X190:X191"/>
    <mergeCell ref="Y190:Y191"/>
    <mergeCell ref="Z190:Z191"/>
    <mergeCell ref="W192:W193"/>
    <mergeCell ref="X192:X193"/>
    <mergeCell ref="Y192:Y193"/>
    <mergeCell ref="Z192:Z193"/>
    <mergeCell ref="AC190:AC191"/>
    <mergeCell ref="F192:F193"/>
    <mergeCell ref="G192:G193"/>
    <mergeCell ref="H192:H193"/>
    <mergeCell ref="E198:E199"/>
    <mergeCell ref="F198:F199"/>
    <mergeCell ref="G198:G199"/>
    <mergeCell ref="H198:H199"/>
    <mergeCell ref="E200:E201"/>
    <mergeCell ref="F200:F201"/>
    <mergeCell ref="G200:G201"/>
    <mergeCell ref="H200:H201"/>
    <mergeCell ref="E208:E209"/>
    <mergeCell ref="F208:F209"/>
    <mergeCell ref="G208:G209"/>
    <mergeCell ref="H208:H209"/>
    <mergeCell ref="E210:E211"/>
    <mergeCell ref="F210:F211"/>
    <mergeCell ref="G210:G211"/>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Q217:Q218"/>
    <mergeCell ref="M213:M214"/>
    <mergeCell ref="N213:N214"/>
    <mergeCell ref="K215:K216"/>
    <mergeCell ref="L215:L216"/>
    <mergeCell ref="M215:M216"/>
    <mergeCell ref="N215:N216"/>
    <mergeCell ref="G215:G216"/>
    <mergeCell ref="N217:N218"/>
    <mergeCell ref="Q213:Q214"/>
    <mergeCell ref="R213:R214"/>
    <mergeCell ref="S213:S214"/>
    <mergeCell ref="T213:T214"/>
    <mergeCell ref="Q215:Q216"/>
    <mergeCell ref="R215:R216"/>
    <mergeCell ref="S215:S216"/>
    <mergeCell ref="T215:T216"/>
    <mergeCell ref="W213:W214"/>
    <mergeCell ref="W217:W218"/>
    <mergeCell ref="R217:R218"/>
    <mergeCell ref="S217:S218"/>
    <mergeCell ref="T217:T218"/>
    <mergeCell ref="AC213:AC214"/>
    <mergeCell ref="AD213:AD214"/>
    <mergeCell ref="AE213:AE214"/>
    <mergeCell ref="AF213:AF214"/>
    <mergeCell ref="AC215:AC216"/>
    <mergeCell ref="AD215:AD216"/>
    <mergeCell ref="E213:E214"/>
    <mergeCell ref="F213:F214"/>
    <mergeCell ref="G213:G214"/>
    <mergeCell ref="H213:H214"/>
    <mergeCell ref="E215:E216"/>
    <mergeCell ref="W215:W216"/>
    <mergeCell ref="X215:X216"/>
    <mergeCell ref="Y215:Y216"/>
    <mergeCell ref="Z215:Z216"/>
    <mergeCell ref="H215:H216"/>
    <mergeCell ref="E217:E218"/>
    <mergeCell ref="F217:F218"/>
    <mergeCell ref="G217:G218"/>
    <mergeCell ref="H217:H218"/>
    <mergeCell ref="F215:F216"/>
    <mergeCell ref="X217:X218"/>
    <mergeCell ref="Y217:Y218"/>
    <mergeCell ref="Z217:Z218"/>
    <mergeCell ref="X213:X214"/>
    <mergeCell ref="Y213:Y214"/>
    <mergeCell ref="Z213:Z214"/>
    <mergeCell ref="M245:M246"/>
    <mergeCell ref="N245:N246"/>
    <mergeCell ref="K247:K248"/>
    <mergeCell ref="L247:L248"/>
    <mergeCell ref="M247:M248"/>
    <mergeCell ref="N247:N248"/>
    <mergeCell ref="K249:K250"/>
    <mergeCell ref="L249:L250"/>
    <mergeCell ref="M249:M250"/>
    <mergeCell ref="N249:N250"/>
    <mergeCell ref="K251:K252"/>
    <mergeCell ref="L251:L252"/>
    <mergeCell ref="M251:M252"/>
    <mergeCell ref="N251:N252"/>
    <mergeCell ref="K253:K254"/>
    <mergeCell ref="L253:L254"/>
    <mergeCell ref="M253:M254"/>
    <mergeCell ref="N253:N254"/>
    <mergeCell ref="W237:W238"/>
    <mergeCell ref="W247:W248"/>
    <mergeCell ref="Q241:Q242"/>
    <mergeCell ref="R241:R242"/>
    <mergeCell ref="Q245:Q246"/>
    <mergeCell ref="R245:R246"/>
    <mergeCell ref="S237:S238"/>
    <mergeCell ref="T237:T238"/>
    <mergeCell ref="Q239:Q240"/>
    <mergeCell ref="R239:R240"/>
    <mergeCell ref="S239:S240"/>
    <mergeCell ref="T239:T240"/>
    <mergeCell ref="S241:S242"/>
    <mergeCell ref="T241:T242"/>
    <mergeCell ref="Q243:Q244"/>
    <mergeCell ref="R243:R244"/>
    <mergeCell ref="S243:S244"/>
    <mergeCell ref="T243:T244"/>
    <mergeCell ref="S245:S246"/>
    <mergeCell ref="T245:T246"/>
    <mergeCell ref="V243:V244"/>
    <mergeCell ref="Y243:Y244"/>
    <mergeCell ref="Z243:Z244"/>
    <mergeCell ref="Y245:Y246"/>
    <mergeCell ref="Z245:Z246"/>
    <mergeCell ref="Q247:Q248"/>
    <mergeCell ref="R247:R248"/>
    <mergeCell ref="S247:S248"/>
    <mergeCell ref="T247:T248"/>
    <mergeCell ref="Q249:Q250"/>
    <mergeCell ref="R249:R250"/>
    <mergeCell ref="S249:S250"/>
    <mergeCell ref="T249:T250"/>
    <mergeCell ref="Q251:Q252"/>
    <mergeCell ref="R251:R252"/>
    <mergeCell ref="S251:S252"/>
    <mergeCell ref="T251:T252"/>
    <mergeCell ref="Q253:Q254"/>
    <mergeCell ref="R253:R254"/>
    <mergeCell ref="S253:S254"/>
    <mergeCell ref="T253:T254"/>
    <mergeCell ref="Z249:Z250"/>
    <mergeCell ref="W251:W252"/>
    <mergeCell ref="X251:X252"/>
    <mergeCell ref="Y251:Y252"/>
    <mergeCell ref="Z251:Z252"/>
    <mergeCell ref="W253:W254"/>
    <mergeCell ref="X253:X254"/>
    <mergeCell ref="Y253:Y254"/>
    <mergeCell ref="Z253:Z254"/>
    <mergeCell ref="AC237:AC238"/>
    <mergeCell ref="AD237:AD238"/>
    <mergeCell ref="AC241:AC242"/>
    <mergeCell ref="AD241:AD242"/>
    <mergeCell ref="AC245:AC246"/>
    <mergeCell ref="AD245:AD246"/>
    <mergeCell ref="AC249:AC250"/>
    <mergeCell ref="AD249:AD250"/>
    <mergeCell ref="X237:X238"/>
    <mergeCell ref="W241:W242"/>
    <mergeCell ref="X241:X242"/>
    <mergeCell ref="W245:W246"/>
    <mergeCell ref="X245:X246"/>
    <mergeCell ref="Y237:Y238"/>
    <mergeCell ref="Z237:Z238"/>
    <mergeCell ref="W239:W240"/>
    <mergeCell ref="X239:X240"/>
    <mergeCell ref="Y239:Y240"/>
    <mergeCell ref="Z239:Z240"/>
    <mergeCell ref="Y241:Y242"/>
    <mergeCell ref="Z241:Z242"/>
    <mergeCell ref="W243:W244"/>
    <mergeCell ref="X243:X244"/>
    <mergeCell ref="AE237:AE238"/>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45:AE246"/>
    <mergeCell ref="AF245:AF246"/>
    <mergeCell ref="AC247:AC248"/>
    <mergeCell ref="AD247:AD248"/>
    <mergeCell ref="AE247:AE248"/>
    <mergeCell ref="AF247:AF248"/>
    <mergeCell ref="E237:E238"/>
    <mergeCell ref="F237:F238"/>
    <mergeCell ref="G237:G238"/>
    <mergeCell ref="H237:H238"/>
    <mergeCell ref="E239:E240"/>
    <mergeCell ref="F239:F240"/>
    <mergeCell ref="G239:G240"/>
    <mergeCell ref="H239:H240"/>
    <mergeCell ref="E241:E242"/>
    <mergeCell ref="F241:F242"/>
    <mergeCell ref="G241:G242"/>
    <mergeCell ref="H241:H242"/>
    <mergeCell ref="E243:E244"/>
    <mergeCell ref="F243:F244"/>
    <mergeCell ref="G243:G244"/>
    <mergeCell ref="H243:H244"/>
    <mergeCell ref="E245:E246"/>
    <mergeCell ref="F245:F246"/>
    <mergeCell ref="G245:G246"/>
    <mergeCell ref="H245:H246"/>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AE249:AE250"/>
    <mergeCell ref="AF249:AF250"/>
    <mergeCell ref="AC251:AC252"/>
    <mergeCell ref="AD251:AD252"/>
    <mergeCell ref="AE251:AE252"/>
    <mergeCell ref="AF251:AF252"/>
    <mergeCell ref="AC253:AC254"/>
    <mergeCell ref="AD253:AD254"/>
    <mergeCell ref="AE253:AE254"/>
    <mergeCell ref="AF253:AF254"/>
    <mergeCell ref="E247:E248"/>
    <mergeCell ref="F247:F248"/>
    <mergeCell ref="X247:X248"/>
    <mergeCell ref="Y247:Y248"/>
    <mergeCell ref="Z247:Z248"/>
    <mergeCell ref="W249:W250"/>
    <mergeCell ref="X249:X250"/>
    <mergeCell ref="Y249:Y250"/>
  </mergeCells>
  <pageMargins left="0.4" right="0.31" top="0.43" bottom="0.47" header="0.3" footer="0.3"/>
  <pageSetup paperSize="9" scale="9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1BF1-DDC4-4CED-BA8E-005AF69BA012}">
  <sheetPr>
    <pageSetUpPr fitToPage="1"/>
  </sheetPr>
  <dimension ref="A1:AH256"/>
  <sheetViews>
    <sheetView zoomScaleNormal="100" workbookViewId="0">
      <pane xSplit="3" ySplit="12" topLeftCell="E231" activePane="bottomRight" state="frozen"/>
      <selection pane="topRight" activeCell="K1" sqref="K1"/>
      <selection pane="bottomLeft" activeCell="A13" sqref="A13"/>
      <selection pane="bottomRight" activeCell="A8" sqref="A8:K8"/>
    </sheetView>
  </sheetViews>
  <sheetFormatPr defaultColWidth="9.109375" defaultRowHeight="10.199999999999999" x14ac:dyDescent="0.2"/>
  <cols>
    <col min="1" max="1" width="6.5546875" style="11" customWidth="1"/>
    <col min="2" max="2" width="36.77734375" style="31" customWidth="1"/>
    <col min="3" max="3" width="8.77734375" style="31" customWidth="1"/>
    <col min="4" max="4" width="6.44140625" style="11" customWidth="1"/>
    <col min="5" max="34" width="4.77734375" style="11" customWidth="1"/>
    <col min="35" max="16384" width="9.109375" style="11"/>
  </cols>
  <sheetData>
    <row r="1" spans="1:34" x14ac:dyDescent="0.2">
      <c r="A1" s="9"/>
      <c r="B1" s="10"/>
      <c r="C1" s="10"/>
      <c r="D1" s="9"/>
    </row>
    <row r="2" spans="1:34" x14ac:dyDescent="0.2">
      <c r="A2" s="297" t="s">
        <v>51</v>
      </c>
      <c r="B2" s="297"/>
      <c r="C2" s="297"/>
      <c r="D2" s="269"/>
      <c r="E2" s="269"/>
      <c r="F2" s="269"/>
      <c r="G2" s="269"/>
      <c r="H2" s="269"/>
      <c r="I2" s="269"/>
      <c r="J2" s="269"/>
    </row>
    <row r="3" spans="1:34" x14ac:dyDescent="0.2">
      <c r="A3" s="297" t="s">
        <v>50</v>
      </c>
      <c r="B3" s="297"/>
      <c r="C3" s="297"/>
      <c r="D3" s="269"/>
      <c r="E3" s="269"/>
      <c r="F3" s="269"/>
      <c r="G3" s="269"/>
      <c r="H3" s="269"/>
      <c r="I3" s="269"/>
      <c r="J3" s="15"/>
    </row>
    <row r="4" spans="1:34" x14ac:dyDescent="0.2">
      <c r="A4" s="297" t="s">
        <v>58</v>
      </c>
      <c r="B4" s="297"/>
      <c r="C4" s="297"/>
      <c r="D4" s="12"/>
    </row>
    <row r="5" spans="1:34" x14ac:dyDescent="0.2">
      <c r="A5" s="271" t="s">
        <v>148</v>
      </c>
      <c r="B5" s="269"/>
      <c r="C5" s="13"/>
      <c r="D5" s="14"/>
      <c r="Q5" s="11" t="s">
        <v>74</v>
      </c>
      <c r="R5" s="15"/>
      <c r="W5" s="11" t="s">
        <v>74</v>
      </c>
      <c r="Y5" s="278"/>
      <c r="AC5" s="11" t="s">
        <v>74</v>
      </c>
    </row>
    <row r="6" spans="1:34" x14ac:dyDescent="0.2">
      <c r="A6" s="271" t="s">
        <v>154</v>
      </c>
      <c r="B6" s="269"/>
      <c r="C6" s="10"/>
      <c r="D6" s="9"/>
      <c r="I6" s="16"/>
      <c r="J6" s="16"/>
      <c r="O6" s="16"/>
      <c r="U6" s="16"/>
      <c r="V6" s="16"/>
      <c r="Y6" s="278"/>
      <c r="AA6" s="16"/>
      <c r="AB6" s="16"/>
      <c r="AG6" s="16"/>
      <c r="AH6" s="16"/>
    </row>
    <row r="7" spans="1:34" x14ac:dyDescent="0.2">
      <c r="A7" s="268"/>
      <c r="B7" s="268"/>
      <c r="C7" s="268"/>
    </row>
    <row r="8" spans="1:34" x14ac:dyDescent="0.2">
      <c r="A8" s="268" t="s">
        <v>181</v>
      </c>
      <c r="B8" s="268"/>
      <c r="C8" s="268"/>
      <c r="D8" s="269"/>
      <c r="E8" s="269"/>
      <c r="F8" s="269"/>
      <c r="G8" s="269"/>
      <c r="H8" s="269"/>
      <c r="I8" s="269"/>
      <c r="J8" s="269"/>
      <c r="K8" s="269"/>
    </row>
    <row r="9" spans="1:34" x14ac:dyDescent="0.2">
      <c r="A9" s="9"/>
      <c r="B9" s="10"/>
      <c r="C9" s="10"/>
      <c r="D9" s="9"/>
    </row>
    <row r="10" spans="1:34" x14ac:dyDescent="0.2">
      <c r="A10" s="17"/>
      <c r="B10" s="293" t="s">
        <v>38</v>
      </c>
      <c r="C10" s="292"/>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2"/>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2"/>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18">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66" t="s">
        <v>105</v>
      </c>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row>
    <row r="15" spans="1:34" ht="15.75" customHeight="1" thickBot="1" x14ac:dyDescent="0.25">
      <c r="A15" s="289"/>
      <c r="B15" s="284" t="s">
        <v>92</v>
      </c>
      <c r="C15" s="291"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91"/>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91"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91"/>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91"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91"/>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91"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91"/>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91"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91"/>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91"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91"/>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91"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91"/>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91"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91"/>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91"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91"/>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91"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91"/>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91"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91"/>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306"/>
      <c r="E39" s="306"/>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84"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84"/>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84"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84"/>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84"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84"/>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83" t="s">
        <v>13</v>
      </c>
      <c r="C58" s="283"/>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row>
    <row r="59" spans="1:34" x14ac:dyDescent="0.2">
      <c r="A59" s="289"/>
      <c r="B59" s="284" t="s">
        <v>77</v>
      </c>
      <c r="C59" s="284"/>
      <c r="D59" s="251" t="s">
        <v>78</v>
      </c>
      <c r="E59" s="252">
        <v>1</v>
      </c>
      <c r="F59" s="252">
        <v>1</v>
      </c>
      <c r="G59" s="252">
        <v>1</v>
      </c>
      <c r="H59" s="252">
        <v>1</v>
      </c>
      <c r="I59" s="19"/>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3"/>
      <c r="AD59" s="23"/>
      <c r="AE59" s="23"/>
      <c r="AF59" s="23"/>
      <c r="AG59" s="19"/>
      <c r="AH59" s="252">
        <v>1</v>
      </c>
    </row>
    <row r="60" spans="1:34" ht="48" customHeight="1" x14ac:dyDescent="0.2">
      <c r="A60" s="289"/>
      <c r="B60" s="284"/>
      <c r="C60" s="284"/>
      <c r="D60" s="251"/>
      <c r="E60" s="252"/>
      <c r="F60" s="252"/>
      <c r="G60" s="252"/>
      <c r="H60" s="252"/>
      <c r="I60" s="19"/>
      <c r="J60" s="252"/>
      <c r="K60" s="252"/>
      <c r="L60" s="252"/>
      <c r="M60" s="252"/>
      <c r="N60" s="252"/>
      <c r="O60" s="19"/>
      <c r="P60" s="252"/>
      <c r="Q60" s="252"/>
      <c r="R60" s="252"/>
      <c r="S60" s="252"/>
      <c r="T60" s="252"/>
      <c r="U60" s="19"/>
      <c r="V60" s="252"/>
      <c r="W60" s="252"/>
      <c r="X60" s="252"/>
      <c r="Y60" s="252"/>
      <c r="Z60" s="252"/>
      <c r="AA60" s="19"/>
      <c r="AB60" s="252"/>
      <c r="AC60" s="23"/>
      <c r="AD60" s="23"/>
      <c r="AE60" s="23"/>
      <c r="AF60" s="23"/>
      <c r="AG60" s="19"/>
      <c r="AH60" s="252"/>
    </row>
    <row r="61" spans="1:34" x14ac:dyDescent="0.2">
      <c r="A61" s="289"/>
      <c r="B61" s="284" t="s">
        <v>118</v>
      </c>
      <c r="C61" s="284"/>
      <c r="D61" s="251" t="s">
        <v>78</v>
      </c>
      <c r="E61" s="252">
        <v>1</v>
      </c>
      <c r="F61" s="252">
        <v>1</v>
      </c>
      <c r="G61" s="252">
        <v>1</v>
      </c>
      <c r="H61" s="252">
        <v>1</v>
      </c>
      <c r="I61" s="19"/>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ht="53.4" customHeight="1" x14ac:dyDescent="0.2">
      <c r="A62" s="289"/>
      <c r="B62" s="284"/>
      <c r="C62" s="284"/>
      <c r="D62" s="251"/>
      <c r="E62" s="252"/>
      <c r="F62" s="252"/>
      <c r="G62" s="252"/>
      <c r="H62" s="252"/>
      <c r="I62" s="19"/>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ht="30" customHeight="1"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ht="37.200000000000003" customHeight="1"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57" customHeight="1" x14ac:dyDescent="0.2">
      <c r="A82" s="289"/>
      <c r="B82" s="33" t="s">
        <v>95</v>
      </c>
      <c r="C82" s="34"/>
      <c r="D82" s="24" t="s">
        <v>135</v>
      </c>
      <c r="E82" s="35">
        <v>2</v>
      </c>
      <c r="F82" s="35">
        <v>2</v>
      </c>
      <c r="G82" s="35">
        <v>2</v>
      </c>
      <c r="H82" s="35">
        <v>2</v>
      </c>
      <c r="I82" s="35"/>
      <c r="J82" s="35">
        <v>8</v>
      </c>
      <c r="K82" s="35">
        <v>2</v>
      </c>
      <c r="L82" s="35">
        <v>2</v>
      </c>
      <c r="M82" s="35">
        <v>2</v>
      </c>
      <c r="N82" s="35">
        <v>2</v>
      </c>
      <c r="O82" s="36"/>
      <c r="P82" s="35">
        <v>8</v>
      </c>
      <c r="Q82" s="35">
        <v>2</v>
      </c>
      <c r="R82" s="35">
        <v>2</v>
      </c>
      <c r="S82" s="35">
        <v>2</v>
      </c>
      <c r="T82" s="35">
        <v>2</v>
      </c>
      <c r="U82" s="35"/>
      <c r="V82" s="35">
        <v>8</v>
      </c>
      <c r="W82" s="35">
        <v>2</v>
      </c>
      <c r="X82" s="35">
        <v>2</v>
      </c>
      <c r="Y82" s="35">
        <v>2</v>
      </c>
      <c r="Z82" s="35">
        <v>2</v>
      </c>
      <c r="AA82" s="36"/>
      <c r="AB82" s="35">
        <v>8</v>
      </c>
      <c r="AC82" s="35">
        <v>2</v>
      </c>
      <c r="AD82" s="35">
        <v>2</v>
      </c>
      <c r="AE82" s="35">
        <v>2</v>
      </c>
      <c r="AF82" s="35">
        <v>2</v>
      </c>
      <c r="AG82" s="35"/>
      <c r="AH82" s="35">
        <v>8</v>
      </c>
    </row>
    <row r="83" spans="1:34" ht="15.75" customHeight="1" x14ac:dyDescent="0.2">
      <c r="A83" s="289"/>
      <c r="B83" s="284" t="s">
        <v>84</v>
      </c>
      <c r="C83" s="291"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289"/>
      <c r="B84" s="284"/>
      <c r="C84" s="291"/>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91"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91"/>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91"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91"/>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91"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91"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91"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36">
        <v>6</v>
      </c>
      <c r="F95" s="36">
        <v>6</v>
      </c>
      <c r="G95" s="36">
        <v>6</v>
      </c>
      <c r="H95" s="36">
        <v>8</v>
      </c>
      <c r="I95" s="35"/>
      <c r="J95" s="35">
        <v>26</v>
      </c>
      <c r="K95" s="36">
        <v>6</v>
      </c>
      <c r="L95" s="36">
        <v>6</v>
      </c>
      <c r="M95" s="36">
        <v>6</v>
      </c>
      <c r="N95" s="36">
        <v>8</v>
      </c>
      <c r="O95" s="35"/>
      <c r="P95" s="35">
        <v>26</v>
      </c>
      <c r="Q95" s="36">
        <v>6</v>
      </c>
      <c r="R95" s="36">
        <v>6</v>
      </c>
      <c r="S95" s="36">
        <v>6</v>
      </c>
      <c r="T95" s="36">
        <v>8</v>
      </c>
      <c r="U95" s="35"/>
      <c r="V95" s="35">
        <v>26</v>
      </c>
      <c r="W95" s="36">
        <v>6</v>
      </c>
      <c r="X95" s="36">
        <v>6</v>
      </c>
      <c r="Y95" s="36">
        <v>6</v>
      </c>
      <c r="Z95" s="36">
        <v>8</v>
      </c>
      <c r="AA95" s="36"/>
      <c r="AB95" s="35">
        <v>26</v>
      </c>
      <c r="AC95" s="36">
        <v>6</v>
      </c>
      <c r="AD95" s="36">
        <v>6</v>
      </c>
      <c r="AE95" s="36">
        <v>6</v>
      </c>
      <c r="AF95" s="36">
        <v>8</v>
      </c>
      <c r="AG95" s="35"/>
      <c r="AH95" s="35">
        <v>26</v>
      </c>
    </row>
    <row r="96" spans="1:34" ht="15.75" customHeight="1" x14ac:dyDescent="0.2">
      <c r="A96" s="289"/>
      <c r="B96" s="284" t="s">
        <v>85</v>
      </c>
      <c r="C96" s="291"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91"/>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91"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91"/>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91"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91"/>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91"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91"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91"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ht="41.4" customHeight="1" x14ac:dyDescent="0.2">
      <c r="A109" s="273"/>
      <c r="B109" s="296" t="s">
        <v>23</v>
      </c>
      <c r="C109" s="296"/>
      <c r="D109" s="24" t="s">
        <v>135</v>
      </c>
      <c r="E109" s="23">
        <v>25</v>
      </c>
      <c r="F109" s="23">
        <v>25</v>
      </c>
      <c r="G109" s="23">
        <v>25</v>
      </c>
      <c r="H109" s="23">
        <v>25</v>
      </c>
      <c r="I109" s="26"/>
      <c r="J109" s="41">
        <v>100</v>
      </c>
      <c r="K109" s="23">
        <v>25</v>
      </c>
      <c r="L109" s="23">
        <v>25</v>
      </c>
      <c r="M109" s="23">
        <v>25</v>
      </c>
      <c r="N109" s="23">
        <v>25</v>
      </c>
      <c r="O109" s="26"/>
      <c r="P109" s="41">
        <v>100</v>
      </c>
      <c r="Q109" s="23">
        <v>25</v>
      </c>
      <c r="R109" s="23">
        <v>25</v>
      </c>
      <c r="S109" s="23">
        <v>25</v>
      </c>
      <c r="T109" s="23">
        <v>25</v>
      </c>
      <c r="U109" s="26"/>
      <c r="V109" s="41">
        <v>100</v>
      </c>
      <c r="W109" s="23">
        <v>25</v>
      </c>
      <c r="X109" s="23">
        <v>25</v>
      </c>
      <c r="Y109" s="23">
        <v>25</v>
      </c>
      <c r="Z109" s="23">
        <v>25</v>
      </c>
      <c r="AA109" s="26"/>
      <c r="AB109" s="41">
        <v>100</v>
      </c>
      <c r="AC109" s="23">
        <v>25</v>
      </c>
      <c r="AD109" s="23">
        <v>25</v>
      </c>
      <c r="AE109" s="23">
        <v>25</v>
      </c>
      <c r="AF109" s="23">
        <v>25</v>
      </c>
      <c r="AG109" s="26"/>
      <c r="AH109" s="41">
        <v>100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91"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91"/>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91"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91"/>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91"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91"/>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91"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91"/>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91"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91"/>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91"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91"/>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43.2" customHeight="1" x14ac:dyDescent="0.2">
      <c r="A124" s="17" t="s">
        <v>24</v>
      </c>
      <c r="B124" s="264" t="s">
        <v>25</v>
      </c>
      <c r="C124" s="264"/>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c r="AG124" s="306"/>
      <c r="AH124" s="306"/>
    </row>
    <row r="125" spans="1:34" ht="15.75" customHeight="1" x14ac:dyDescent="0.2">
      <c r="A125" s="289"/>
      <c r="B125" s="284" t="s">
        <v>137</v>
      </c>
      <c r="C125" s="291" t="s">
        <v>26</v>
      </c>
      <c r="D125" s="27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55">
        <v>5.0000000000000001E-3</v>
      </c>
      <c r="Q125" s="255">
        <v>5.0000000000000001E-3</v>
      </c>
      <c r="R125" s="255">
        <v>5.0000000000000001E-3</v>
      </c>
      <c r="S125" s="255">
        <v>5.0000000000000001E-3</v>
      </c>
      <c r="T125" s="255">
        <v>5.0000000000000001E-3</v>
      </c>
      <c r="U125" s="26"/>
      <c r="V125" s="255">
        <v>5.0000000000000001E-3</v>
      </c>
      <c r="W125" s="255">
        <v>5.0000000000000001E-3</v>
      </c>
      <c r="X125" s="255">
        <v>5.0000000000000001E-3</v>
      </c>
      <c r="Y125" s="255">
        <v>5.0000000000000001E-3</v>
      </c>
      <c r="Z125" s="255">
        <v>5.0000000000000001E-3</v>
      </c>
      <c r="AA125" s="26"/>
      <c r="AB125" s="255">
        <v>5.0000000000000001E-3</v>
      </c>
      <c r="AC125" s="255">
        <v>5.0000000000000001E-3</v>
      </c>
      <c r="AD125" s="255">
        <v>5.0000000000000001E-3</v>
      </c>
      <c r="AE125" s="255">
        <v>5.0000000000000001E-3</v>
      </c>
      <c r="AF125" s="255">
        <v>5.0000000000000001E-3</v>
      </c>
      <c r="AG125" s="26"/>
      <c r="AH125" s="255">
        <v>5.0000000000000001E-3</v>
      </c>
    </row>
    <row r="126" spans="1:34" ht="15.75" customHeight="1" x14ac:dyDescent="0.2">
      <c r="A126" s="289"/>
      <c r="B126" s="284"/>
      <c r="C126" s="291"/>
      <c r="D126" s="251"/>
      <c r="E126" s="256"/>
      <c r="F126" s="256"/>
      <c r="G126" s="256"/>
      <c r="H126" s="256"/>
      <c r="I126" s="26"/>
      <c r="J126" s="256"/>
      <c r="K126" s="256"/>
      <c r="L126" s="256"/>
      <c r="M126" s="256"/>
      <c r="N126" s="256"/>
      <c r="O126" s="26"/>
      <c r="P126" s="256"/>
      <c r="Q126" s="256"/>
      <c r="R126" s="256"/>
      <c r="S126" s="256"/>
      <c r="T126" s="256"/>
      <c r="U126" s="26"/>
      <c r="V126" s="256"/>
      <c r="W126" s="256"/>
      <c r="X126" s="256"/>
      <c r="Y126" s="256"/>
      <c r="Z126" s="256"/>
      <c r="AA126" s="26"/>
      <c r="AB126" s="256"/>
      <c r="AC126" s="256"/>
      <c r="AD126" s="256"/>
      <c r="AE126" s="256"/>
      <c r="AF126" s="256"/>
      <c r="AG126" s="26"/>
      <c r="AH126" s="256"/>
    </row>
    <row r="127" spans="1:34" ht="15.75" customHeight="1" x14ac:dyDescent="0.2">
      <c r="A127" s="289"/>
      <c r="B127" s="284"/>
      <c r="C127" s="291"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289"/>
      <c r="B128" s="284"/>
      <c r="C128" s="291"/>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289"/>
      <c r="B129" s="284"/>
      <c r="C129" s="291"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289"/>
      <c r="B130" s="284"/>
      <c r="C130" s="291"/>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289"/>
      <c r="B131" s="291" t="s">
        <v>138</v>
      </c>
      <c r="C131" s="291" t="s">
        <v>26</v>
      </c>
      <c r="D131" s="27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ht="15.75" customHeight="1" x14ac:dyDescent="0.2">
      <c r="A132" s="289"/>
      <c r="B132" s="291"/>
      <c r="C132" s="291"/>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289"/>
      <c r="B133" s="291"/>
      <c r="C133" s="291"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289"/>
      <c r="B134" s="291"/>
      <c r="C134" s="291"/>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289"/>
      <c r="B135" s="291"/>
      <c r="C135" s="291" t="s">
        <v>8</v>
      </c>
      <c r="D135" s="27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15.75" customHeight="1" x14ac:dyDescent="0.2">
      <c r="A136" s="289"/>
      <c r="B136" s="291"/>
      <c r="C136" s="291"/>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ht="15.75" customHeight="1" x14ac:dyDescent="0.2">
      <c r="A138" s="289"/>
      <c r="B138" s="284"/>
      <c r="C138" s="291"/>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ht="15.75" customHeight="1" x14ac:dyDescent="0.2">
      <c r="A139" s="289"/>
      <c r="B139" s="284"/>
      <c r="C139" s="291"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ht="15.75" customHeight="1" x14ac:dyDescent="0.2">
      <c r="A140" s="289"/>
      <c r="B140" s="284"/>
      <c r="C140" s="291"/>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ht="15.75" customHeight="1" x14ac:dyDescent="0.2">
      <c r="A142" s="289"/>
      <c r="B142" s="284"/>
      <c r="C142" s="291"/>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x14ac:dyDescent="0.2">
      <c r="A143" s="289"/>
      <c r="B143" s="284" t="s">
        <v>139</v>
      </c>
      <c r="C143" s="42"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20.399999999999999" x14ac:dyDescent="0.2">
      <c r="A144" s="289"/>
      <c r="B144" s="284"/>
      <c r="C144" s="42" t="s">
        <v>7</v>
      </c>
      <c r="D144" s="24" t="s">
        <v>135</v>
      </c>
      <c r="E144" s="23">
        <v>0</v>
      </c>
      <c r="F144" s="23">
        <v>0</v>
      </c>
      <c r="G144" s="23">
        <v>0</v>
      </c>
      <c r="H144" s="23">
        <v>1</v>
      </c>
      <c r="I144" s="26"/>
      <c r="J144" s="41">
        <v>1</v>
      </c>
      <c r="K144" s="23">
        <v>0</v>
      </c>
      <c r="L144" s="23">
        <v>0</v>
      </c>
      <c r="M144" s="23">
        <v>0</v>
      </c>
      <c r="N144" s="23">
        <v>1</v>
      </c>
      <c r="O144" s="26"/>
      <c r="P144" s="41">
        <v>1</v>
      </c>
      <c r="Q144" s="23">
        <v>0</v>
      </c>
      <c r="R144" s="23">
        <v>0</v>
      </c>
      <c r="S144" s="23">
        <v>0</v>
      </c>
      <c r="T144" s="23">
        <v>1</v>
      </c>
      <c r="U144" s="26"/>
      <c r="V144" s="41">
        <v>1</v>
      </c>
      <c r="W144" s="23">
        <v>0</v>
      </c>
      <c r="X144" s="23">
        <v>0</v>
      </c>
      <c r="Y144" s="23">
        <v>0</v>
      </c>
      <c r="Z144" s="23">
        <v>1</v>
      </c>
      <c r="AA144" s="26"/>
      <c r="AB144" s="41">
        <v>1</v>
      </c>
      <c r="AC144" s="23">
        <v>0</v>
      </c>
      <c r="AD144" s="23">
        <v>0</v>
      </c>
      <c r="AE144" s="23">
        <v>0</v>
      </c>
      <c r="AF144" s="23">
        <v>1</v>
      </c>
      <c r="AG144" s="26"/>
      <c r="AH144" s="41">
        <v>1</v>
      </c>
    </row>
    <row r="145" spans="1:34" ht="20.399999999999999" x14ac:dyDescent="0.2">
      <c r="A145" s="289"/>
      <c r="B145" s="284"/>
      <c r="C145" s="42"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91"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x14ac:dyDescent="0.2">
      <c r="A147" s="289"/>
      <c r="B147" s="284"/>
      <c r="C147" s="291"/>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ht="15.75" customHeight="1"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ht="15.75" customHeight="1"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ht="15.75" customHeight="1" x14ac:dyDescent="0.2">
      <c r="A150" s="289"/>
      <c r="B150" s="284"/>
      <c r="C150" s="291"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x14ac:dyDescent="0.2">
      <c r="A151" s="289"/>
      <c r="B151" s="284"/>
      <c r="C151" s="291"/>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448" t="s">
        <v>27</v>
      </c>
      <c r="C152" s="448"/>
      <c r="D152" s="306"/>
      <c r="E152" s="306"/>
      <c r="F152" s="306"/>
      <c r="G152" s="306"/>
      <c r="H152" s="306"/>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F152" s="306"/>
      <c r="AG152" s="306"/>
      <c r="AH152" s="306"/>
    </row>
    <row r="153" spans="1:34" ht="15.75" customHeight="1" x14ac:dyDescent="0.2">
      <c r="A153" s="273"/>
      <c r="B153" s="284" t="s">
        <v>126</v>
      </c>
      <c r="C153" s="291"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91"/>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91"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91"/>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91"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91"/>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91" t="s">
        <v>26</v>
      </c>
      <c r="D159" s="272" t="s">
        <v>78</v>
      </c>
      <c r="E159" s="252">
        <v>0</v>
      </c>
      <c r="F159" s="252">
        <v>0</v>
      </c>
      <c r="G159" s="252">
        <v>0</v>
      </c>
      <c r="H159" s="252">
        <v>0</v>
      </c>
      <c r="I159" s="26"/>
      <c r="J159" s="252">
        <v>0</v>
      </c>
      <c r="K159" s="252">
        <v>0</v>
      </c>
      <c r="L159" s="252">
        <v>0</v>
      </c>
      <c r="M159" s="252">
        <v>0</v>
      </c>
      <c r="N159" s="252">
        <v>0</v>
      </c>
      <c r="O159" s="26"/>
      <c r="P159" s="252">
        <v>0</v>
      </c>
      <c r="Q159" s="252">
        <v>0</v>
      </c>
      <c r="R159" s="252">
        <v>0</v>
      </c>
      <c r="S159" s="252">
        <v>0</v>
      </c>
      <c r="T159" s="252">
        <v>0</v>
      </c>
      <c r="U159" s="26"/>
      <c r="V159" s="252">
        <v>0</v>
      </c>
      <c r="W159" s="252">
        <v>0</v>
      </c>
      <c r="X159" s="252">
        <v>0</v>
      </c>
      <c r="Y159" s="252">
        <v>0</v>
      </c>
      <c r="Z159" s="252">
        <v>0</v>
      </c>
      <c r="AA159" s="26"/>
      <c r="AB159" s="252">
        <v>0.01</v>
      </c>
      <c r="AC159" s="252">
        <v>0.01</v>
      </c>
      <c r="AD159" s="252">
        <v>0.01</v>
      </c>
      <c r="AE159" s="252">
        <v>0.01</v>
      </c>
      <c r="AF159" s="252">
        <v>0.01</v>
      </c>
      <c r="AG159" s="26"/>
      <c r="AH159" s="252">
        <v>0.01</v>
      </c>
    </row>
    <row r="160" spans="1:34" ht="15.75" customHeight="1" x14ac:dyDescent="0.2">
      <c r="A160" s="273"/>
      <c r="B160" s="284"/>
      <c r="C160" s="291"/>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91" t="s">
        <v>7</v>
      </c>
      <c r="D161" s="272" t="s">
        <v>78</v>
      </c>
      <c r="E161" s="252">
        <v>0</v>
      </c>
      <c r="F161" s="252">
        <v>0</v>
      </c>
      <c r="G161" s="252">
        <v>0</v>
      </c>
      <c r="H161" s="252">
        <v>0</v>
      </c>
      <c r="I161" s="26"/>
      <c r="J161" s="252">
        <v>0</v>
      </c>
      <c r="K161" s="252">
        <v>0</v>
      </c>
      <c r="L161" s="252">
        <v>0</v>
      </c>
      <c r="M161" s="252">
        <v>0</v>
      </c>
      <c r="N161" s="252">
        <v>0</v>
      </c>
      <c r="O161" s="26"/>
      <c r="P161" s="252">
        <v>0</v>
      </c>
      <c r="Q161" s="252">
        <v>0</v>
      </c>
      <c r="R161" s="252">
        <v>0</v>
      </c>
      <c r="S161" s="252">
        <v>0</v>
      </c>
      <c r="T161" s="252">
        <v>0</v>
      </c>
      <c r="U161" s="26"/>
      <c r="V161" s="252">
        <v>0</v>
      </c>
      <c r="W161" s="252">
        <v>0</v>
      </c>
      <c r="X161" s="252">
        <v>0</v>
      </c>
      <c r="Y161" s="252">
        <v>0</v>
      </c>
      <c r="Z161" s="252">
        <v>0</v>
      </c>
      <c r="AA161" s="26"/>
      <c r="AB161" s="252">
        <v>0.01</v>
      </c>
      <c r="AC161" s="252">
        <v>0.01</v>
      </c>
      <c r="AD161" s="252">
        <v>0.01</v>
      </c>
      <c r="AE161" s="252">
        <v>0.01</v>
      </c>
      <c r="AF161" s="252">
        <v>0.01</v>
      </c>
      <c r="AG161" s="26"/>
      <c r="AH161" s="252">
        <v>0.01</v>
      </c>
    </row>
    <row r="162" spans="1:34" ht="15.75" customHeight="1" x14ac:dyDescent="0.2">
      <c r="A162" s="273"/>
      <c r="B162" s="284"/>
      <c r="C162" s="291"/>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91" t="s">
        <v>8</v>
      </c>
      <c r="D163" s="272" t="s">
        <v>78</v>
      </c>
      <c r="E163" s="252">
        <v>0</v>
      </c>
      <c r="F163" s="252">
        <v>0</v>
      </c>
      <c r="G163" s="252">
        <v>0</v>
      </c>
      <c r="H163" s="252">
        <v>0</v>
      </c>
      <c r="I163" s="26"/>
      <c r="J163" s="252">
        <v>0</v>
      </c>
      <c r="K163" s="252">
        <v>0</v>
      </c>
      <c r="L163" s="252">
        <v>0</v>
      </c>
      <c r="M163" s="252">
        <v>0</v>
      </c>
      <c r="N163" s="252">
        <v>0</v>
      </c>
      <c r="O163" s="26"/>
      <c r="P163" s="252">
        <v>0</v>
      </c>
      <c r="Q163" s="252">
        <v>0</v>
      </c>
      <c r="R163" s="252">
        <v>0</v>
      </c>
      <c r="S163" s="252">
        <v>0</v>
      </c>
      <c r="T163" s="252">
        <v>0</v>
      </c>
      <c r="U163" s="26"/>
      <c r="V163" s="252">
        <v>0</v>
      </c>
      <c r="W163" s="252">
        <v>0</v>
      </c>
      <c r="X163" s="252">
        <v>0</v>
      </c>
      <c r="Y163" s="252">
        <v>0</v>
      </c>
      <c r="Z163" s="252">
        <v>0</v>
      </c>
      <c r="AA163" s="26"/>
      <c r="AB163" s="252">
        <v>0.01</v>
      </c>
      <c r="AC163" s="252">
        <v>0.01</v>
      </c>
      <c r="AD163" s="252">
        <v>0.01</v>
      </c>
      <c r="AE163" s="252">
        <v>0.01</v>
      </c>
      <c r="AF163" s="252">
        <v>0.01</v>
      </c>
      <c r="AG163" s="26"/>
      <c r="AH163" s="252">
        <v>0.01</v>
      </c>
    </row>
    <row r="164" spans="1:34" ht="15.75" customHeight="1" x14ac:dyDescent="0.2">
      <c r="A164" s="273"/>
      <c r="B164" s="284"/>
      <c r="C164" s="291"/>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7.25" customHeight="1" x14ac:dyDescent="0.2">
      <c r="A183" s="273"/>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F189" s="306"/>
      <c r="AG189" s="306"/>
      <c r="AH189" s="306"/>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x14ac:dyDescent="0.2">
      <c r="A195" s="43">
        <v>2.1</v>
      </c>
      <c r="B195" s="264" t="s">
        <v>30</v>
      </c>
      <c r="C195" s="264"/>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15.75" customHeight="1" x14ac:dyDescent="0.2">
      <c r="A196" s="289"/>
      <c r="B196" s="288" t="s">
        <v>142</v>
      </c>
      <c r="C196" s="288"/>
      <c r="D196" s="273" t="s">
        <v>78</v>
      </c>
      <c r="E196" s="254">
        <v>0.3876</v>
      </c>
      <c r="F196" s="254">
        <v>0.3876</v>
      </c>
      <c r="G196" s="254">
        <v>0.3876</v>
      </c>
      <c r="H196" s="254">
        <v>0.3876</v>
      </c>
      <c r="I196" s="45"/>
      <c r="J196" s="254">
        <v>0.3876</v>
      </c>
      <c r="K196" s="254">
        <v>0.36759999999999998</v>
      </c>
      <c r="L196" s="254">
        <v>0.36759999999999998</v>
      </c>
      <c r="M196" s="254">
        <v>0.36759999999999998</v>
      </c>
      <c r="N196" s="254">
        <v>0.36759999999999998</v>
      </c>
      <c r="O196" s="45"/>
      <c r="P196" s="254">
        <v>0.36759999999999998</v>
      </c>
      <c r="Q196" s="254">
        <v>0.34760000000000002</v>
      </c>
      <c r="R196" s="254">
        <v>0.34760000000000002</v>
      </c>
      <c r="S196" s="254">
        <v>0.34760000000000002</v>
      </c>
      <c r="T196" s="254">
        <v>0.34760000000000002</v>
      </c>
      <c r="U196" s="45"/>
      <c r="V196" s="254">
        <v>0.34760000000000002</v>
      </c>
      <c r="W196" s="254">
        <v>0.3276</v>
      </c>
      <c r="X196" s="254">
        <v>0.3276</v>
      </c>
      <c r="Y196" s="254">
        <v>0.3276</v>
      </c>
      <c r="Z196" s="254">
        <v>0.3276</v>
      </c>
      <c r="AA196" s="45"/>
      <c r="AB196" s="254">
        <v>0.3276</v>
      </c>
      <c r="AC196" s="254">
        <v>0.32</v>
      </c>
      <c r="AD196" s="254">
        <v>0.32</v>
      </c>
      <c r="AE196" s="254">
        <v>0.32</v>
      </c>
      <c r="AF196" s="254">
        <v>0.32</v>
      </c>
      <c r="AG196" s="29"/>
      <c r="AH196" s="254">
        <v>0.32</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43.65/(43.65+0.5+4.6)</f>
        <v>0.89538461538461533</v>
      </c>
      <c r="X198" s="252">
        <f>43.65/(43.65+0.5+4.6)</f>
        <v>0.89538461538461533</v>
      </c>
      <c r="Y198" s="252">
        <f>43.65/(43.65+0.5+4.6)</f>
        <v>0.89538461538461533</v>
      </c>
      <c r="Z198" s="252">
        <f>43.65/(43.65+0.5+4.6)</f>
        <v>0.89538461538461533</v>
      </c>
      <c r="AA198" s="19"/>
      <c r="AB198" s="252">
        <f>43.65/(43.65+0.5+4.6)</f>
        <v>0.89538461538461533</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x14ac:dyDescent="0.2">
      <c r="A200" s="289"/>
      <c r="B200" s="296" t="s">
        <v>147</v>
      </c>
      <c r="C200" s="296"/>
      <c r="D200" s="25" t="s">
        <v>100</v>
      </c>
      <c r="E200" s="250">
        <v>1.7</v>
      </c>
      <c r="F200" s="250">
        <v>1.7</v>
      </c>
      <c r="G200" s="250">
        <v>1.7</v>
      </c>
      <c r="H200" s="250">
        <v>1.7</v>
      </c>
      <c r="I200" s="26"/>
      <c r="J200" s="250">
        <v>1.7</v>
      </c>
      <c r="K200" s="250">
        <v>1.8</v>
      </c>
      <c r="L200" s="250">
        <v>1.8</v>
      </c>
      <c r="M200" s="250">
        <v>1.8</v>
      </c>
      <c r="N200" s="250">
        <v>1.8</v>
      </c>
      <c r="O200" s="26"/>
      <c r="P200" s="250">
        <v>1.8</v>
      </c>
      <c r="Q200" s="250">
        <v>1.9</v>
      </c>
      <c r="R200" s="250">
        <v>1.9</v>
      </c>
      <c r="S200" s="250">
        <v>1.9</v>
      </c>
      <c r="T200" s="250">
        <v>1.9</v>
      </c>
      <c r="U200" s="26"/>
      <c r="V200" s="250">
        <v>1.9</v>
      </c>
      <c r="W200" s="250">
        <v>2</v>
      </c>
      <c r="X200" s="250">
        <v>2</v>
      </c>
      <c r="Y200" s="250">
        <v>2</v>
      </c>
      <c r="Z200" s="250">
        <v>2</v>
      </c>
      <c r="AA200" s="26"/>
      <c r="AB200" s="250">
        <v>2</v>
      </c>
      <c r="AC200" s="250">
        <v>2.2000000000000002</v>
      </c>
      <c r="AD200" s="250">
        <v>2.2000000000000002</v>
      </c>
      <c r="AE200" s="250">
        <v>2.2000000000000002</v>
      </c>
      <c r="AF200" s="250">
        <v>2.2000000000000002</v>
      </c>
      <c r="AG200" s="26"/>
      <c r="AH200" s="250">
        <v>2.2000000000000002</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84" t="s">
        <v>26</v>
      </c>
      <c r="D202" s="273" t="s">
        <v>78</v>
      </c>
      <c r="E202" s="249">
        <v>1</v>
      </c>
      <c r="F202" s="249">
        <v>1</v>
      </c>
      <c r="G202" s="249">
        <v>1</v>
      </c>
      <c r="H202" s="249">
        <v>1</v>
      </c>
      <c r="I202" s="26"/>
      <c r="J202" s="249">
        <v>1</v>
      </c>
      <c r="K202" s="249">
        <v>1</v>
      </c>
      <c r="L202" s="249">
        <v>1</v>
      </c>
      <c r="M202" s="249">
        <v>1</v>
      </c>
      <c r="N202" s="249">
        <v>1</v>
      </c>
      <c r="O202" s="26"/>
      <c r="P202" s="249">
        <v>1</v>
      </c>
      <c r="Q202" s="250">
        <v>0.2</v>
      </c>
      <c r="R202" s="250">
        <v>0.2</v>
      </c>
      <c r="S202" s="250">
        <v>0.2</v>
      </c>
      <c r="T202" s="250">
        <v>0.2</v>
      </c>
      <c r="U202" s="26"/>
      <c r="V202" s="250">
        <v>0.2</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84"/>
      <c r="D203" s="273"/>
      <c r="E203" s="249"/>
      <c r="F203" s="249"/>
      <c r="G203" s="249"/>
      <c r="H203" s="249"/>
      <c r="I203" s="26"/>
      <c r="J203" s="249"/>
      <c r="K203" s="249"/>
      <c r="L203" s="249"/>
      <c r="M203" s="249"/>
      <c r="N203" s="249"/>
      <c r="O203" s="26"/>
      <c r="P203" s="249"/>
      <c r="Q203" s="251"/>
      <c r="R203" s="251"/>
      <c r="S203" s="251"/>
      <c r="T203" s="251"/>
      <c r="U203" s="26"/>
      <c r="V203" s="251"/>
      <c r="W203" s="249"/>
      <c r="X203" s="249"/>
      <c r="Y203" s="249"/>
      <c r="Z203" s="249"/>
      <c r="AA203" s="26"/>
      <c r="AB203" s="249"/>
      <c r="AC203" s="249"/>
      <c r="AD203" s="249"/>
      <c r="AE203" s="249"/>
      <c r="AF203" s="249"/>
      <c r="AG203" s="26"/>
      <c r="AH203" s="249"/>
    </row>
    <row r="204" spans="1:34" ht="15.75" customHeight="1" x14ac:dyDescent="0.2">
      <c r="A204" s="289"/>
      <c r="B204" s="284"/>
      <c r="C204" s="284"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84"/>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84"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84"/>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73" t="s">
        <v>78</v>
      </c>
      <c r="E208" s="249">
        <f>43.65/44.7</f>
        <v>0.97651006711409383</v>
      </c>
      <c r="F208" s="249">
        <f>43.65/44.7</f>
        <v>0.97651006711409383</v>
      </c>
      <c r="G208" s="249">
        <f>43.65/44.7</f>
        <v>0.97651006711409383</v>
      </c>
      <c r="H208" s="249">
        <f>43.65/44.7</f>
        <v>0.97651006711409383</v>
      </c>
      <c r="I208" s="19"/>
      <c r="J208" s="249">
        <f>43.65/44.7</f>
        <v>0.97651006711409383</v>
      </c>
      <c r="K208" s="249">
        <f>43.65/44.7</f>
        <v>0.97651006711409383</v>
      </c>
      <c r="L208" s="249">
        <f>43.65/44.7</f>
        <v>0.97651006711409383</v>
      </c>
      <c r="M208" s="249">
        <f>43.65/44.7</f>
        <v>0.97651006711409383</v>
      </c>
      <c r="N208" s="249">
        <f>43.65/44.7</f>
        <v>0.97651006711409383</v>
      </c>
      <c r="O208" s="19"/>
      <c r="P208" s="249">
        <f>43.65/44.7</f>
        <v>0.97651006711409383</v>
      </c>
      <c r="Q208" s="249">
        <f>43.65/44.7</f>
        <v>0.97651006711409383</v>
      </c>
      <c r="R208" s="249">
        <f>43.65/44.7</f>
        <v>0.97651006711409383</v>
      </c>
      <c r="S208" s="249">
        <f>43.65/44.7</f>
        <v>0.97651006711409383</v>
      </c>
      <c r="T208" s="249">
        <f>43.65/44.7</f>
        <v>0.97651006711409383</v>
      </c>
      <c r="U208" s="19"/>
      <c r="V208" s="249">
        <f>43.65/44.7</f>
        <v>0.97651006711409383</v>
      </c>
      <c r="W208" s="249">
        <f>(43.64+0.5+4.6)/44.7</f>
        <v>1.0903803131991052</v>
      </c>
      <c r="X208" s="249">
        <f>(43.64+0.5+4.6)/44.7</f>
        <v>1.0903803131991052</v>
      </c>
      <c r="Y208" s="249">
        <f>(43.64+0.5+4.6)/44.7</f>
        <v>1.0903803131991052</v>
      </c>
      <c r="Z208" s="249">
        <f>(43.64+0.5+4.6)/44.7</f>
        <v>1.0903803131991052</v>
      </c>
      <c r="AA208" s="19"/>
      <c r="AB208" s="249">
        <f>(43.64+0.5+4.6)/44.7</f>
        <v>1.0903803131991052</v>
      </c>
      <c r="AC208" s="249">
        <f>(43.64+0.5+4.6)/44.7</f>
        <v>1.0903803131991052</v>
      </c>
      <c r="AD208" s="249">
        <f>(43.64+0.5+4.6)/44.7</f>
        <v>1.0903803131991052</v>
      </c>
      <c r="AE208" s="249">
        <f>(43.64+0.5+4.6)/44.7</f>
        <v>1.0903803131991052</v>
      </c>
      <c r="AF208" s="249">
        <f>(43.64+0.5+4.6)/44.7</f>
        <v>1.0903803131991052</v>
      </c>
      <c r="AG208" s="19"/>
      <c r="AH208" s="249">
        <f>(43.64+0.5+4.6)/44.7</f>
        <v>1.0903803131991052</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f>4077/4077</f>
        <v>1</v>
      </c>
      <c r="F210" s="249">
        <f>4077/4077</f>
        <v>1</v>
      </c>
      <c r="G210" s="249">
        <f>4077/4077</f>
        <v>1</v>
      </c>
      <c r="H210" s="249">
        <f>4077/4077</f>
        <v>1</v>
      </c>
      <c r="I210" s="19"/>
      <c r="J210" s="249">
        <f>4077/4077</f>
        <v>1</v>
      </c>
      <c r="K210" s="249">
        <f>2669/2669</f>
        <v>1</v>
      </c>
      <c r="L210" s="249">
        <f>2669/2669</f>
        <v>1</v>
      </c>
      <c r="M210" s="249">
        <f>2669/2669</f>
        <v>1</v>
      </c>
      <c r="N210" s="249">
        <f>2669/2669</f>
        <v>1</v>
      </c>
      <c r="O210" s="1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64" t="s">
        <v>33</v>
      </c>
      <c r="C212" s="264"/>
      <c r="D212" s="306"/>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F212" s="306"/>
      <c r="AG212" s="306"/>
      <c r="AH212" s="306"/>
    </row>
    <row r="213" spans="1:34"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f>23.94/44.7</f>
        <v>0.53557046979865774</v>
      </c>
      <c r="X213" s="249">
        <f>23.94/44.7</f>
        <v>0.53557046979865774</v>
      </c>
      <c r="Y213" s="249">
        <f>23.94/44.7</f>
        <v>0.53557046979865774</v>
      </c>
      <c r="Z213" s="249">
        <f>23.94/44.7</f>
        <v>0.53557046979865774</v>
      </c>
      <c r="AA213" s="19"/>
      <c r="AB213" s="249">
        <f>23.94/44.7</f>
        <v>0.53557046979865774</v>
      </c>
      <c r="AC213" s="249">
        <f>23.94/44.7</f>
        <v>0.53557046979865774</v>
      </c>
      <c r="AD213" s="249">
        <f>23.94/44.7</f>
        <v>0.53557046979865774</v>
      </c>
      <c r="AE213" s="249">
        <f>23.94/44.7</f>
        <v>0.53557046979865774</v>
      </c>
      <c r="AF213" s="249">
        <f>23.94/44.7</f>
        <v>0.53557046979865774</v>
      </c>
      <c r="AG213" s="19"/>
      <c r="AH213" s="249">
        <f>23.94/44.7</f>
        <v>0.53557046979865774</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1</v>
      </c>
      <c r="X215" s="249">
        <v>1</v>
      </c>
      <c r="Y215" s="249">
        <v>1</v>
      </c>
      <c r="Z215" s="249">
        <v>1</v>
      </c>
      <c r="AA215" s="19"/>
      <c r="AB215" s="249">
        <v>1</v>
      </c>
      <c r="AC215" s="249">
        <v>1</v>
      </c>
      <c r="AD215" s="249">
        <v>1</v>
      </c>
      <c r="AE215" s="249">
        <v>1</v>
      </c>
      <c r="AF215" s="249">
        <v>1</v>
      </c>
      <c r="AG215" s="19"/>
      <c r="AH215" s="249">
        <v>1</v>
      </c>
    </row>
    <row r="216" spans="1:34"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v>
      </c>
      <c r="F217" s="250">
        <v>0</v>
      </c>
      <c r="G217" s="250">
        <v>0</v>
      </c>
      <c r="H217" s="250">
        <v>0</v>
      </c>
      <c r="I217" s="26"/>
      <c r="J217" s="250">
        <v>0</v>
      </c>
      <c r="K217" s="250">
        <v>1</v>
      </c>
      <c r="L217" s="250">
        <v>2</v>
      </c>
      <c r="M217" s="250">
        <v>3</v>
      </c>
      <c r="N217" s="250">
        <v>4</v>
      </c>
      <c r="O217" s="26"/>
      <c r="P217" s="250">
        <v>0</v>
      </c>
      <c r="Q217" s="250">
        <v>1</v>
      </c>
      <c r="R217" s="250">
        <v>2</v>
      </c>
      <c r="S217" s="250">
        <v>3</v>
      </c>
      <c r="T217" s="250">
        <v>4</v>
      </c>
      <c r="U217" s="26"/>
      <c r="V217" s="250">
        <v>0</v>
      </c>
      <c r="W217" s="250">
        <v>0.14000000000000001</v>
      </c>
      <c r="X217" s="250">
        <v>0.14000000000000001</v>
      </c>
      <c r="Y217" s="250">
        <v>0.14000000000000001</v>
      </c>
      <c r="Z217" s="250">
        <v>0.14000000000000001</v>
      </c>
      <c r="AA217" s="26"/>
      <c r="AB217" s="250">
        <v>0.14000000000000001</v>
      </c>
      <c r="AC217" s="250">
        <v>0.14000000000000001</v>
      </c>
      <c r="AD217" s="250">
        <v>0.14000000000000001</v>
      </c>
      <c r="AE217" s="250">
        <v>0.14000000000000001</v>
      </c>
      <c r="AF217" s="250">
        <v>0.14000000000000001</v>
      </c>
      <c r="AG217" s="26"/>
      <c r="AH217" s="250">
        <v>0.14000000000000001</v>
      </c>
    </row>
    <row r="218" spans="1:34" ht="16.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2"/>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2"/>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2"/>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2"/>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18">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ht="15.75" customHeight="1" x14ac:dyDescent="0.2">
      <c r="A225" s="17">
        <v>3.1</v>
      </c>
      <c r="B225" s="264" t="s">
        <v>105</v>
      </c>
      <c r="C225" s="264"/>
      <c r="D225" s="306"/>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6"/>
      <c r="AB225" s="306"/>
      <c r="AC225" s="306"/>
      <c r="AD225" s="306"/>
      <c r="AE225" s="306"/>
      <c r="AF225" s="306"/>
      <c r="AG225" s="306"/>
      <c r="AH225" s="306"/>
    </row>
    <row r="226" spans="1:34" x14ac:dyDescent="0.2">
      <c r="A226" s="289"/>
      <c r="B226" s="284" t="s">
        <v>45</v>
      </c>
      <c r="C226" s="284"/>
      <c r="D226" s="25" t="s">
        <v>101</v>
      </c>
      <c r="E226" s="23">
        <v>1127</v>
      </c>
      <c r="F226" s="23">
        <v>1139</v>
      </c>
      <c r="G226" s="23">
        <v>1152</v>
      </c>
      <c r="H226" s="23">
        <v>1164</v>
      </c>
      <c r="I226" s="41"/>
      <c r="J226" s="41">
        <v>1164</v>
      </c>
      <c r="K226" s="23">
        <v>1177</v>
      </c>
      <c r="L226" s="23">
        <v>1189</v>
      </c>
      <c r="M226" s="23">
        <v>1202</v>
      </c>
      <c r="N226" s="23">
        <v>1214</v>
      </c>
      <c r="O226" s="41"/>
      <c r="P226" s="41">
        <v>1214</v>
      </c>
      <c r="Q226" s="23">
        <v>1227</v>
      </c>
      <c r="R226" s="23">
        <v>1239</v>
      </c>
      <c r="S226" s="23">
        <v>1252</v>
      </c>
      <c r="T226" s="23">
        <v>1264</v>
      </c>
      <c r="U226" s="23"/>
      <c r="V226" s="41">
        <v>1264</v>
      </c>
      <c r="W226" s="23">
        <v>1279</v>
      </c>
      <c r="X226" s="23">
        <v>1293</v>
      </c>
      <c r="Y226" s="23">
        <v>1308</v>
      </c>
      <c r="Z226" s="23">
        <v>1322</v>
      </c>
      <c r="AA226" s="41"/>
      <c r="AB226" s="85">
        <v>1322</v>
      </c>
      <c r="AC226" s="23">
        <v>1337</v>
      </c>
      <c r="AD226" s="23">
        <v>1351</v>
      </c>
      <c r="AE226" s="23">
        <v>1366</v>
      </c>
      <c r="AF226" s="23">
        <v>1380</v>
      </c>
      <c r="AG226" s="41"/>
      <c r="AH226" s="85">
        <v>1380</v>
      </c>
    </row>
    <row r="227" spans="1:34" x14ac:dyDescent="0.2">
      <c r="A227" s="289"/>
      <c r="B227" s="284"/>
      <c r="C227" s="284"/>
      <c r="D227" s="25" t="s">
        <v>32</v>
      </c>
      <c r="E227" s="26">
        <v>43.65</v>
      </c>
      <c r="F227" s="26">
        <v>43.65</v>
      </c>
      <c r="G227" s="26">
        <v>43.65</v>
      </c>
      <c r="H227" s="26">
        <v>43.65</v>
      </c>
      <c r="I227" s="26"/>
      <c r="J227" s="26">
        <v>43.65</v>
      </c>
      <c r="K227" s="26">
        <v>43.65</v>
      </c>
      <c r="L227" s="26">
        <v>43.65</v>
      </c>
      <c r="M227" s="26">
        <v>43.65</v>
      </c>
      <c r="N227" s="26">
        <v>43.65</v>
      </c>
      <c r="O227" s="26"/>
      <c r="P227" s="26">
        <v>43.65</v>
      </c>
      <c r="Q227" s="26">
        <v>43.65</v>
      </c>
      <c r="R227" s="26">
        <v>43.65</v>
      </c>
      <c r="S227" s="26">
        <v>43.65</v>
      </c>
      <c r="T227" s="26">
        <v>43.65</v>
      </c>
      <c r="U227" s="44"/>
      <c r="V227" s="26">
        <v>43.65</v>
      </c>
      <c r="W227" s="26">
        <f t="shared" ref="W227:Z228" si="0">43.65+4.6</f>
        <v>48.25</v>
      </c>
      <c r="X227" s="26">
        <f t="shared" si="0"/>
        <v>48.25</v>
      </c>
      <c r="Y227" s="26">
        <f t="shared" si="0"/>
        <v>48.25</v>
      </c>
      <c r="Z227" s="26">
        <f t="shared" si="0"/>
        <v>48.25</v>
      </c>
      <c r="AA227" s="26"/>
      <c r="AB227" s="26">
        <f>43.65+4.6</f>
        <v>48.25</v>
      </c>
      <c r="AC227" s="26">
        <f t="shared" ref="AC227:AF228" si="1">43.65+4.6</f>
        <v>48.25</v>
      </c>
      <c r="AD227" s="26">
        <f t="shared" si="1"/>
        <v>48.25</v>
      </c>
      <c r="AE227" s="26">
        <f t="shared" si="1"/>
        <v>48.25</v>
      </c>
      <c r="AF227" s="26">
        <f t="shared" si="1"/>
        <v>48.25</v>
      </c>
      <c r="AG227" s="26"/>
      <c r="AH227" s="58">
        <f>AB227</f>
        <v>48.25</v>
      </c>
    </row>
    <row r="228" spans="1:34" ht="15.75" customHeight="1" x14ac:dyDescent="0.2">
      <c r="A228" s="289"/>
      <c r="B228" s="284" t="s">
        <v>46</v>
      </c>
      <c r="C228" s="284"/>
      <c r="D228" s="25" t="s">
        <v>32</v>
      </c>
      <c r="E228" s="26">
        <v>43.65</v>
      </c>
      <c r="F228" s="26">
        <v>43.65</v>
      </c>
      <c r="G228" s="26">
        <v>43.65</v>
      </c>
      <c r="H228" s="26">
        <v>43.65</v>
      </c>
      <c r="I228" s="26"/>
      <c r="J228" s="26">
        <v>43.65</v>
      </c>
      <c r="K228" s="26">
        <v>43.65</v>
      </c>
      <c r="L228" s="26">
        <v>43.65</v>
      </c>
      <c r="M228" s="26">
        <v>43.65</v>
      </c>
      <c r="N228" s="26">
        <v>43.65</v>
      </c>
      <c r="O228" s="26"/>
      <c r="P228" s="26">
        <v>43.65</v>
      </c>
      <c r="Q228" s="26">
        <v>43.65</v>
      </c>
      <c r="R228" s="26">
        <v>43.65</v>
      </c>
      <c r="S228" s="26">
        <v>43.65</v>
      </c>
      <c r="T228" s="26">
        <v>43.65</v>
      </c>
      <c r="U228" s="44"/>
      <c r="V228" s="26">
        <v>43.65</v>
      </c>
      <c r="W228" s="26">
        <f t="shared" si="0"/>
        <v>48.25</v>
      </c>
      <c r="X228" s="26">
        <f t="shared" si="0"/>
        <v>48.25</v>
      </c>
      <c r="Y228" s="26">
        <f t="shared" si="0"/>
        <v>48.25</v>
      </c>
      <c r="Z228" s="26">
        <f t="shared" si="0"/>
        <v>48.25</v>
      </c>
      <c r="AA228" s="26"/>
      <c r="AB228" s="26">
        <f>43.65+4.6</f>
        <v>48.25</v>
      </c>
      <c r="AC228" s="26">
        <f t="shared" si="1"/>
        <v>48.25</v>
      </c>
      <c r="AD228" s="26">
        <f t="shared" si="1"/>
        <v>48.25</v>
      </c>
      <c r="AE228" s="26">
        <f t="shared" si="1"/>
        <v>48.25</v>
      </c>
      <c r="AF228" s="26">
        <f t="shared" si="1"/>
        <v>48.25</v>
      </c>
      <c r="AG228" s="26"/>
      <c r="AH228" s="58">
        <f>AB228</f>
        <v>48.25</v>
      </c>
    </row>
    <row r="229" spans="1:34" x14ac:dyDescent="0.2">
      <c r="A229" s="289"/>
      <c r="B229" s="284"/>
      <c r="C229" s="284"/>
      <c r="D229" s="25" t="s">
        <v>143</v>
      </c>
      <c r="E229" s="24">
        <v>3255.2624999999998</v>
      </c>
      <c r="F229" s="24">
        <v>3314.8249999999998</v>
      </c>
      <c r="G229" s="24">
        <v>3374.3874999999998</v>
      </c>
      <c r="H229" s="24">
        <v>3433.95</v>
      </c>
      <c r="I229" s="41"/>
      <c r="J229" s="41">
        <v>3433.95</v>
      </c>
      <c r="K229" s="51">
        <v>3493.5124999999998</v>
      </c>
      <c r="L229" s="51">
        <v>3553.0749999999998</v>
      </c>
      <c r="M229" s="51">
        <v>3612.6374999999998</v>
      </c>
      <c r="N229" s="51">
        <v>3672.2</v>
      </c>
      <c r="O229" s="41"/>
      <c r="P229" s="41">
        <v>3672.2</v>
      </c>
      <c r="Q229" s="51">
        <v>3730.8375000000001</v>
      </c>
      <c r="R229" s="51">
        <v>3789.4749999999999</v>
      </c>
      <c r="S229" s="51">
        <v>3848.1125000000002</v>
      </c>
      <c r="T229" s="51">
        <v>3906.75</v>
      </c>
      <c r="U229" s="51"/>
      <c r="V229" s="41">
        <v>3906.75</v>
      </c>
      <c r="W229" s="51">
        <v>4093.7624999999998</v>
      </c>
      <c r="X229" s="51">
        <v>4280.7749999999996</v>
      </c>
      <c r="Y229" s="51">
        <v>4467.7875000000004</v>
      </c>
      <c r="Z229" s="51">
        <v>4654.8</v>
      </c>
      <c r="AA229" s="41"/>
      <c r="AB229" s="41">
        <v>4654.8</v>
      </c>
      <c r="AC229" s="51">
        <v>4773.5662499999999</v>
      </c>
      <c r="AD229" s="51">
        <v>4892.3325000000004</v>
      </c>
      <c r="AE229" s="51">
        <v>5011.0987500000001</v>
      </c>
      <c r="AF229" s="51">
        <v>5129.8650000000007</v>
      </c>
      <c r="AG229" s="41"/>
      <c r="AH229" s="41">
        <v>5129.8650000000007</v>
      </c>
    </row>
    <row r="230" spans="1:34" x14ac:dyDescent="0.2">
      <c r="A230" s="289"/>
      <c r="B230" s="284" t="s">
        <v>47</v>
      </c>
      <c r="C230" s="284"/>
      <c r="D230" s="25" t="s">
        <v>32</v>
      </c>
      <c r="E230" s="45">
        <v>43.65</v>
      </c>
      <c r="F230" s="45">
        <v>43.65</v>
      </c>
      <c r="G230" s="45">
        <v>43.65</v>
      </c>
      <c r="H230" s="45">
        <v>43.65</v>
      </c>
      <c r="I230" s="41"/>
      <c r="J230" s="26">
        <v>43.65</v>
      </c>
      <c r="K230" s="26">
        <v>43.65</v>
      </c>
      <c r="L230" s="26">
        <v>43.65</v>
      </c>
      <c r="M230" s="26">
        <v>43.65</v>
      </c>
      <c r="N230" s="26">
        <v>43.65</v>
      </c>
      <c r="O230" s="26"/>
      <c r="P230" s="26">
        <v>43.65</v>
      </c>
      <c r="Q230" s="26">
        <v>43.65</v>
      </c>
      <c r="R230" s="26">
        <v>43.65</v>
      </c>
      <c r="S230" s="26">
        <v>43.65</v>
      </c>
      <c r="T230" s="26">
        <v>43.65</v>
      </c>
      <c r="U230" s="44"/>
      <c r="V230" s="26">
        <v>43.65</v>
      </c>
      <c r="W230" s="44">
        <v>48.75</v>
      </c>
      <c r="X230" s="44">
        <v>48.75</v>
      </c>
      <c r="Y230" s="44">
        <v>48.75</v>
      </c>
      <c r="Z230" s="44">
        <v>48.75</v>
      </c>
      <c r="AA230" s="26"/>
      <c r="AB230" s="26">
        <f>V230+0.5+4.6</f>
        <v>48.75</v>
      </c>
      <c r="AC230" s="26">
        <v>48.75</v>
      </c>
      <c r="AD230" s="26">
        <v>48.75</v>
      </c>
      <c r="AE230" s="26">
        <v>48.75</v>
      </c>
      <c r="AF230" s="26">
        <v>48.75</v>
      </c>
      <c r="AG230" s="26"/>
      <c r="AH230" s="58">
        <f>AB230</f>
        <v>48.75</v>
      </c>
    </row>
    <row r="231" spans="1:34" x14ac:dyDescent="0.2">
      <c r="A231" s="289"/>
      <c r="B231" s="284"/>
      <c r="C231" s="284"/>
      <c r="D231" s="25" t="s">
        <v>143</v>
      </c>
      <c r="E231" s="24">
        <v>3255.2624999999998</v>
      </c>
      <c r="F231" s="24">
        <v>3314.8249999999998</v>
      </c>
      <c r="G231" s="24">
        <v>3374.3874999999998</v>
      </c>
      <c r="H231" s="24">
        <v>3433.95</v>
      </c>
      <c r="I231" s="41"/>
      <c r="J231" s="41">
        <v>3433.95</v>
      </c>
      <c r="K231" s="51">
        <v>3493.5124999999998</v>
      </c>
      <c r="L231" s="51">
        <v>3553.0749999999998</v>
      </c>
      <c r="M231" s="51">
        <v>3612.6374999999998</v>
      </c>
      <c r="N231" s="51">
        <v>3672.2</v>
      </c>
      <c r="O231" s="41"/>
      <c r="P231" s="41">
        <v>3672.2</v>
      </c>
      <c r="Q231" s="51">
        <v>3730.8375000000001</v>
      </c>
      <c r="R231" s="51">
        <v>3789.4749999999999</v>
      </c>
      <c r="S231" s="51">
        <v>3848.1125000000002</v>
      </c>
      <c r="T231" s="51">
        <v>3906.75</v>
      </c>
      <c r="U231" s="51"/>
      <c r="V231" s="41">
        <v>3906.75</v>
      </c>
      <c r="W231" s="51">
        <v>4093.7624999999998</v>
      </c>
      <c r="X231" s="51">
        <v>4280.7749999999996</v>
      </c>
      <c r="Y231" s="51">
        <v>4467.7875000000004</v>
      </c>
      <c r="Z231" s="51">
        <v>4654.8</v>
      </c>
      <c r="AA231" s="41"/>
      <c r="AB231" s="41">
        <v>4654.8</v>
      </c>
      <c r="AC231" s="51">
        <v>4773.5662499999999</v>
      </c>
      <c r="AD231" s="51">
        <v>4892.3325000000004</v>
      </c>
      <c r="AE231" s="51">
        <v>5011.0987500000001</v>
      </c>
      <c r="AF231" s="51">
        <v>5129.8650000000007</v>
      </c>
      <c r="AG231" s="41"/>
      <c r="AH231" s="41">
        <v>5129.8650000000007</v>
      </c>
    </row>
    <row r="232" spans="1:34" x14ac:dyDescent="0.2">
      <c r="A232" s="289"/>
      <c r="B232" s="284" t="s">
        <v>36</v>
      </c>
      <c r="C232" s="284"/>
      <c r="D232" s="25" t="s">
        <v>144</v>
      </c>
      <c r="E232" s="23">
        <v>0</v>
      </c>
      <c r="F232" s="23">
        <v>0</v>
      </c>
      <c r="G232" s="23">
        <v>0</v>
      </c>
      <c r="H232" s="23">
        <v>0</v>
      </c>
      <c r="I232" s="41"/>
      <c r="J232" s="41">
        <v>0</v>
      </c>
      <c r="K232" s="41">
        <v>0</v>
      </c>
      <c r="L232" s="41">
        <v>0</v>
      </c>
      <c r="M232" s="41">
        <v>0</v>
      </c>
      <c r="N232" s="41">
        <v>0</v>
      </c>
      <c r="O232" s="41"/>
      <c r="P232" s="41">
        <v>0</v>
      </c>
      <c r="Q232" s="41">
        <v>0</v>
      </c>
      <c r="R232" s="41">
        <v>0</v>
      </c>
      <c r="S232" s="41">
        <v>0</v>
      </c>
      <c r="T232" s="41">
        <v>0</v>
      </c>
      <c r="U232" s="41"/>
      <c r="V232" s="41">
        <v>0</v>
      </c>
      <c r="W232" s="23">
        <v>319</v>
      </c>
      <c r="X232" s="23">
        <v>638</v>
      </c>
      <c r="Y232" s="23">
        <v>957</v>
      </c>
      <c r="Z232" s="23">
        <v>1276</v>
      </c>
      <c r="AA232" s="41"/>
      <c r="AB232" s="41">
        <v>1276</v>
      </c>
      <c r="AC232" s="23">
        <v>1273</v>
      </c>
      <c r="AD232" s="23">
        <v>1274</v>
      </c>
      <c r="AE232" s="23">
        <v>1275</v>
      </c>
      <c r="AF232" s="23">
        <v>1276</v>
      </c>
      <c r="AG232" s="41"/>
      <c r="AH232" s="41">
        <v>1276</v>
      </c>
    </row>
    <row r="233" spans="1:34" x14ac:dyDescent="0.2">
      <c r="A233" s="289"/>
      <c r="B233" s="284"/>
      <c r="C233" s="284"/>
      <c r="D233" s="25" t="s">
        <v>32</v>
      </c>
      <c r="E233" s="23">
        <v>0</v>
      </c>
      <c r="F233" s="23">
        <v>0</v>
      </c>
      <c r="G233" s="23">
        <v>0</v>
      </c>
      <c r="H233" s="23">
        <v>0</v>
      </c>
      <c r="I233" s="41"/>
      <c r="J233" s="41">
        <v>0</v>
      </c>
      <c r="K233" s="41">
        <v>0</v>
      </c>
      <c r="L233" s="41">
        <v>0</v>
      </c>
      <c r="M233" s="41">
        <v>0</v>
      </c>
      <c r="N233" s="41">
        <v>0</v>
      </c>
      <c r="O233" s="41"/>
      <c r="P233" s="41">
        <v>0</v>
      </c>
      <c r="Q233" s="41">
        <v>0</v>
      </c>
      <c r="R233" s="41">
        <v>0</v>
      </c>
      <c r="S233" s="41">
        <v>0</v>
      </c>
      <c r="T233" s="41">
        <v>0</v>
      </c>
      <c r="U233" s="41"/>
      <c r="V233" s="41">
        <v>0</v>
      </c>
      <c r="W233" s="23">
        <v>5.9850000000000003</v>
      </c>
      <c r="X233" s="23">
        <v>11.97</v>
      </c>
      <c r="Y233" s="23">
        <v>17.954999999999998</v>
      </c>
      <c r="Z233" s="23">
        <v>23.94</v>
      </c>
      <c r="AA233" s="41"/>
      <c r="AB233" s="26">
        <v>23.94</v>
      </c>
      <c r="AC233" s="26">
        <v>23.94</v>
      </c>
      <c r="AD233" s="26">
        <v>23.94</v>
      </c>
      <c r="AE233" s="26">
        <v>23.94</v>
      </c>
      <c r="AF233" s="26">
        <v>23.94</v>
      </c>
      <c r="AG233" s="41"/>
      <c r="AH233" s="26">
        <v>23.94</v>
      </c>
    </row>
    <row r="234" spans="1:34" x14ac:dyDescent="0.2">
      <c r="A234" s="289"/>
      <c r="B234" s="284" t="s">
        <v>48</v>
      </c>
      <c r="C234" s="284"/>
      <c r="D234" s="24" t="s">
        <v>143</v>
      </c>
      <c r="E234" s="19">
        <v>0</v>
      </c>
      <c r="F234" s="19">
        <v>0</v>
      </c>
      <c r="G234" s="19">
        <v>0</v>
      </c>
      <c r="H234" s="19">
        <v>0</v>
      </c>
      <c r="I234" s="41"/>
      <c r="J234" s="23">
        <v>0</v>
      </c>
      <c r="K234" s="23">
        <v>0</v>
      </c>
      <c r="L234" s="23">
        <v>0</v>
      </c>
      <c r="M234" s="23">
        <v>0</v>
      </c>
      <c r="N234" s="23">
        <v>0</v>
      </c>
      <c r="O234" s="41"/>
      <c r="P234" s="41">
        <v>0</v>
      </c>
      <c r="Q234" s="41">
        <v>0</v>
      </c>
      <c r="R234" s="41">
        <v>0</v>
      </c>
      <c r="S234" s="41">
        <v>0</v>
      </c>
      <c r="T234" s="41">
        <v>0</v>
      </c>
      <c r="U234" s="41"/>
      <c r="V234" s="41">
        <v>0</v>
      </c>
      <c r="W234" s="23">
        <v>647</v>
      </c>
      <c r="X234" s="23">
        <v>1293</v>
      </c>
      <c r="Y234" s="23">
        <v>1940</v>
      </c>
      <c r="Z234" s="23">
        <v>2586</v>
      </c>
      <c r="AA234" s="41"/>
      <c r="AB234" s="41">
        <v>2586</v>
      </c>
      <c r="AC234" s="23">
        <v>3094.875</v>
      </c>
      <c r="AD234" s="23">
        <v>3603.75</v>
      </c>
      <c r="AE234" s="23">
        <v>4112.625</v>
      </c>
      <c r="AF234" s="23">
        <v>4621.5</v>
      </c>
      <c r="AG234" s="41"/>
      <c r="AH234" s="41">
        <v>4621.5</v>
      </c>
    </row>
    <row r="235" spans="1:34" x14ac:dyDescent="0.2">
      <c r="A235" s="289"/>
      <c r="B235" s="284"/>
      <c r="C235" s="284"/>
      <c r="D235" s="24" t="s">
        <v>143</v>
      </c>
      <c r="E235" s="23">
        <f>5320-37</f>
        <v>5283</v>
      </c>
      <c r="F235" s="23">
        <f>5320-37</f>
        <v>5283</v>
      </c>
      <c r="G235" s="23">
        <f>5320-37</f>
        <v>5283</v>
      </c>
      <c r="H235" s="23">
        <f>5320-37</f>
        <v>5283</v>
      </c>
      <c r="I235" s="41"/>
      <c r="J235" s="23">
        <f>5320-37</f>
        <v>5283</v>
      </c>
      <c r="K235" s="11">
        <v>5246</v>
      </c>
      <c r="L235" s="41">
        <f>E235-37</f>
        <v>5246</v>
      </c>
      <c r="M235" s="41">
        <f>F235-37</f>
        <v>5246</v>
      </c>
      <c r="N235" s="41">
        <f>G235-37</f>
        <v>5246</v>
      </c>
      <c r="O235" s="41"/>
      <c r="P235" s="41">
        <f>J235-37</f>
        <v>5246</v>
      </c>
      <c r="Q235" s="41">
        <v>5209</v>
      </c>
      <c r="R235" s="41">
        <f>L235-37</f>
        <v>5209</v>
      </c>
      <c r="S235" s="41">
        <f>M235-37</f>
        <v>5209</v>
      </c>
      <c r="T235" s="41">
        <f>N235-37</f>
        <v>5209</v>
      </c>
      <c r="U235" s="41"/>
      <c r="V235" s="41">
        <f>P235-37</f>
        <v>5209</v>
      </c>
      <c r="W235" s="41">
        <v>5172</v>
      </c>
      <c r="X235" s="41">
        <f>R235-37</f>
        <v>5172</v>
      </c>
      <c r="Y235" s="41">
        <f>S235-37</f>
        <v>5172</v>
      </c>
      <c r="Z235" s="41">
        <f>T235-37</f>
        <v>5172</v>
      </c>
      <c r="AA235" s="41"/>
      <c r="AB235" s="41">
        <f>V235-37</f>
        <v>5172</v>
      </c>
      <c r="AC235" s="23">
        <v>5135</v>
      </c>
      <c r="AD235" s="23">
        <v>5135</v>
      </c>
      <c r="AE235" s="23">
        <v>5135</v>
      </c>
      <c r="AF235" s="23">
        <v>5135</v>
      </c>
      <c r="AG235" s="41"/>
      <c r="AH235" s="41">
        <f>AB235-37</f>
        <v>5135</v>
      </c>
    </row>
    <row r="236" spans="1:34" x14ac:dyDescent="0.2">
      <c r="A236" s="17">
        <v>3.2</v>
      </c>
      <c r="B236" s="448" t="s">
        <v>37</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283"/>
      <c r="B237" s="284" t="s">
        <v>102</v>
      </c>
      <c r="C237" s="52"/>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2"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286"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286"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286"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286"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284"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284"/>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284"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284"/>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284"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284"/>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10"/>
      <c r="D256" s="9"/>
    </row>
  </sheetData>
  <mergeCells count="2882">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J253:J254"/>
    <mergeCell ref="P253:P254"/>
    <mergeCell ref="V253:V254"/>
    <mergeCell ref="AB253:AB254"/>
    <mergeCell ref="AH253:AH254"/>
    <mergeCell ref="J249:J250"/>
    <mergeCell ref="P249:P250"/>
    <mergeCell ref="V249:V250"/>
    <mergeCell ref="AB249:AB250"/>
    <mergeCell ref="AH249:AH250"/>
    <mergeCell ref="J251:J252"/>
    <mergeCell ref="P251:P252"/>
    <mergeCell ref="V251:V252"/>
    <mergeCell ref="AB251:AB252"/>
    <mergeCell ref="AH251:AH252"/>
    <mergeCell ref="K249:K250"/>
    <mergeCell ref="L249:L250"/>
    <mergeCell ref="M249:M250"/>
    <mergeCell ref="AB241:AB242"/>
    <mergeCell ref="AH241:AH242"/>
    <mergeCell ref="J243:J244"/>
    <mergeCell ref="P243:P244"/>
    <mergeCell ref="V243:V244"/>
    <mergeCell ref="AB243:AB244"/>
    <mergeCell ref="AH243:AH244"/>
    <mergeCell ref="P237:P238"/>
    <mergeCell ref="V237:V238"/>
    <mergeCell ref="AB237:AB238"/>
    <mergeCell ref="AH237:AH238"/>
    <mergeCell ref="J239:J240"/>
    <mergeCell ref="P239:P240"/>
    <mergeCell ref="V239:V240"/>
    <mergeCell ref="AB239:AB240"/>
    <mergeCell ref="AH239:AH240"/>
    <mergeCell ref="V217:V218"/>
    <mergeCell ref="AB217:AB218"/>
    <mergeCell ref="AH217:AH218"/>
    <mergeCell ref="AE217:AE218"/>
    <mergeCell ref="AF217:AF218"/>
    <mergeCell ref="K237:K238"/>
    <mergeCell ref="L237:L238"/>
    <mergeCell ref="J237:J238"/>
    <mergeCell ref="M237:M238"/>
    <mergeCell ref="N237:N238"/>
    <mergeCell ref="K239:K240"/>
    <mergeCell ref="L239:L240"/>
    <mergeCell ref="M239:M240"/>
    <mergeCell ref="N239:N240"/>
    <mergeCell ref="K241:K242"/>
    <mergeCell ref="L241:L242"/>
    <mergeCell ref="G222:H222"/>
    <mergeCell ref="M222:N222"/>
    <mergeCell ref="S222:T222"/>
    <mergeCell ref="Y222:Z222"/>
    <mergeCell ref="AE222:AF222"/>
    <mergeCell ref="D215:D216"/>
    <mergeCell ref="J215:J216"/>
    <mergeCell ref="P215:P216"/>
    <mergeCell ref="V215:V216"/>
    <mergeCell ref="AB215:AB216"/>
    <mergeCell ref="AH210:AH211"/>
    <mergeCell ref="AH215:AH216"/>
    <mergeCell ref="D213:D214"/>
    <mergeCell ref="J213:J214"/>
    <mergeCell ref="P213:P214"/>
    <mergeCell ref="V213:V214"/>
    <mergeCell ref="AH213:AH214"/>
    <mergeCell ref="M217:M218"/>
    <mergeCell ref="N217:N218"/>
    <mergeCell ref="Q217:Q218"/>
    <mergeCell ref="R217:R218"/>
    <mergeCell ref="P217:P218"/>
    <mergeCell ref="S217:S218"/>
    <mergeCell ref="T217:T218"/>
    <mergeCell ref="Z213:Z214"/>
    <mergeCell ref="AF213:AF214"/>
    <mergeCell ref="AC215:AC216"/>
    <mergeCell ref="AD215:AD216"/>
    <mergeCell ref="AE215:AE216"/>
    <mergeCell ref="AF215:AF216"/>
    <mergeCell ref="AC217:AC218"/>
    <mergeCell ref="AD217:AD218"/>
    <mergeCell ref="J208:J209"/>
    <mergeCell ref="P208:P209"/>
    <mergeCell ref="V208:V209"/>
    <mergeCell ref="AB208:AB209"/>
    <mergeCell ref="AH208:AH209"/>
    <mergeCell ref="K208:K209"/>
    <mergeCell ref="L208:L209"/>
    <mergeCell ref="M208:M209"/>
    <mergeCell ref="D210:D211"/>
    <mergeCell ref="J210:J211"/>
    <mergeCell ref="P210:P211"/>
    <mergeCell ref="V210:V211"/>
    <mergeCell ref="AB210:AB211"/>
    <mergeCell ref="D206:D207"/>
    <mergeCell ref="J206:J207"/>
    <mergeCell ref="P206:P207"/>
    <mergeCell ref="V206:V207"/>
    <mergeCell ref="AB206:AB207"/>
    <mergeCell ref="AH206:AH207"/>
    <mergeCell ref="E206:E207"/>
    <mergeCell ref="F206:F207"/>
    <mergeCell ref="G206:G207"/>
    <mergeCell ref="H206:H207"/>
    <mergeCell ref="E208:E209"/>
    <mergeCell ref="F208:F209"/>
    <mergeCell ref="G208:G209"/>
    <mergeCell ref="H208:H209"/>
    <mergeCell ref="E210:E211"/>
    <mergeCell ref="F210:F211"/>
    <mergeCell ref="G210:G211"/>
    <mergeCell ref="H210:H211"/>
    <mergeCell ref="K206:K207"/>
    <mergeCell ref="AH202:AH203"/>
    <mergeCell ref="D204:D205"/>
    <mergeCell ref="J204:J205"/>
    <mergeCell ref="P204:P205"/>
    <mergeCell ref="V204:V205"/>
    <mergeCell ref="AB204:AB205"/>
    <mergeCell ref="AH204:AH205"/>
    <mergeCell ref="E204:E205"/>
    <mergeCell ref="F204:F205"/>
    <mergeCell ref="J200:J201"/>
    <mergeCell ref="P200:P201"/>
    <mergeCell ref="V200:V201"/>
    <mergeCell ref="AB200:AB201"/>
    <mergeCell ref="AH200:AH201"/>
    <mergeCell ref="D202:D203"/>
    <mergeCell ref="J202:J203"/>
    <mergeCell ref="P202:P203"/>
    <mergeCell ref="V202:V203"/>
    <mergeCell ref="AB202:AB203"/>
    <mergeCell ref="J196:J197"/>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R190:R191"/>
    <mergeCell ref="S190:S191"/>
    <mergeCell ref="T190:T191"/>
    <mergeCell ref="R192:R193"/>
    <mergeCell ref="S192:S193"/>
    <mergeCell ref="T192:T193"/>
    <mergeCell ref="W190:W191"/>
    <mergeCell ref="X190:X191"/>
    <mergeCell ref="Y190:Y191"/>
    <mergeCell ref="W192:W193"/>
    <mergeCell ref="X192:X193"/>
    <mergeCell ref="Y192:Y193"/>
    <mergeCell ref="V185:V186"/>
    <mergeCell ref="AB185:AB186"/>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Q187:Q188"/>
    <mergeCell ref="R187:R188"/>
    <mergeCell ref="S187:S188"/>
    <mergeCell ref="T187:T188"/>
    <mergeCell ref="W185:W186"/>
    <mergeCell ref="X185:X186"/>
    <mergeCell ref="Y185:Y186"/>
    <mergeCell ref="Z185:Z186"/>
    <mergeCell ref="W187:W188"/>
    <mergeCell ref="X187:X188"/>
    <mergeCell ref="Y187:Y188"/>
    <mergeCell ref="Z187:Z188"/>
    <mergeCell ref="J177:J178"/>
    <mergeCell ref="P177:P178"/>
    <mergeCell ref="V177:V178"/>
    <mergeCell ref="AB177:AB17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K173:K174"/>
    <mergeCell ref="L173:L174"/>
    <mergeCell ref="M173:M174"/>
    <mergeCell ref="N173:N174"/>
    <mergeCell ref="K175:K176"/>
    <mergeCell ref="L175:L176"/>
    <mergeCell ref="M175:M176"/>
    <mergeCell ref="N175:N176"/>
    <mergeCell ref="K177:K178"/>
    <mergeCell ref="L177:L178"/>
    <mergeCell ref="M177:M178"/>
    <mergeCell ref="N177:N178"/>
    <mergeCell ref="J169:J170"/>
    <mergeCell ref="P169:P170"/>
    <mergeCell ref="V169:V170"/>
    <mergeCell ref="AB169:AB17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M169:M170"/>
    <mergeCell ref="N169:N170"/>
    <mergeCell ref="K171:K172"/>
    <mergeCell ref="L171:L172"/>
    <mergeCell ref="M171:M172"/>
    <mergeCell ref="N171:N172"/>
    <mergeCell ref="Q165:Q166"/>
    <mergeCell ref="R165:R166"/>
    <mergeCell ref="S165:S166"/>
    <mergeCell ref="T165:T166"/>
    <mergeCell ref="Q167:Q168"/>
    <mergeCell ref="R167:R168"/>
    <mergeCell ref="J161:J162"/>
    <mergeCell ref="P161:P162"/>
    <mergeCell ref="V161:V162"/>
    <mergeCell ref="AB161:AB16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Q163:Q164"/>
    <mergeCell ref="R163:R164"/>
    <mergeCell ref="S163:S164"/>
    <mergeCell ref="T163:T164"/>
    <mergeCell ref="W163:W164"/>
    <mergeCell ref="X163:X164"/>
    <mergeCell ref="Y163:Y164"/>
    <mergeCell ref="Z163:Z164"/>
    <mergeCell ref="AC163:AC164"/>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K150:K151"/>
    <mergeCell ref="L150:L151"/>
    <mergeCell ref="M150:M151"/>
    <mergeCell ref="N150:N151"/>
    <mergeCell ref="Q148:Q149"/>
    <mergeCell ref="R148:R149"/>
    <mergeCell ref="S148:S149"/>
    <mergeCell ref="T148:T149"/>
    <mergeCell ref="K148:K149"/>
    <mergeCell ref="L148:L149"/>
    <mergeCell ref="M148:M149"/>
    <mergeCell ref="N148:N149"/>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M137:M138"/>
    <mergeCell ref="N137:N138"/>
    <mergeCell ref="K139:K140"/>
    <mergeCell ref="L139:L140"/>
    <mergeCell ref="M139:M140"/>
    <mergeCell ref="N139:N140"/>
    <mergeCell ref="K141:K142"/>
    <mergeCell ref="L141:L142"/>
    <mergeCell ref="M141:M142"/>
    <mergeCell ref="N141:N142"/>
    <mergeCell ref="R139:R140"/>
    <mergeCell ref="Q137:Q138"/>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Q129:Q130"/>
    <mergeCell ref="Q131:Q132"/>
    <mergeCell ref="Q133:Q134"/>
    <mergeCell ref="Q135:Q136"/>
    <mergeCell ref="S129:S130"/>
    <mergeCell ref="T129:T130"/>
    <mergeCell ref="W129:W130"/>
    <mergeCell ref="X129:X130"/>
    <mergeCell ref="Y129:Y130"/>
    <mergeCell ref="Z129:Z130"/>
    <mergeCell ref="W131:W132"/>
    <mergeCell ref="X131:X132"/>
    <mergeCell ref="J122:J123"/>
    <mergeCell ref="P122:P123"/>
    <mergeCell ref="V122:V123"/>
    <mergeCell ref="AB122:AB123"/>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K122:K123"/>
    <mergeCell ref="L122:L123"/>
    <mergeCell ref="M122:M123"/>
    <mergeCell ref="N122:N123"/>
    <mergeCell ref="Q118:Q119"/>
    <mergeCell ref="R118:R119"/>
    <mergeCell ref="Y122:Y123"/>
    <mergeCell ref="Z122:Z123"/>
    <mergeCell ref="AC120:AC121"/>
    <mergeCell ref="AD120:AD121"/>
    <mergeCell ref="AE120:AE121"/>
    <mergeCell ref="AF120:AF121"/>
    <mergeCell ref="J114:J115"/>
    <mergeCell ref="P114:P115"/>
    <mergeCell ref="V114:V115"/>
    <mergeCell ref="AB114:AB115"/>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Q110:Q111"/>
    <mergeCell ref="R110:R111"/>
    <mergeCell ref="Q114:Q115"/>
    <mergeCell ref="R114:R115"/>
    <mergeCell ref="S110:S111"/>
    <mergeCell ref="T110:T111"/>
    <mergeCell ref="Q112:Q113"/>
    <mergeCell ref="R112:R113"/>
    <mergeCell ref="S112:S113"/>
    <mergeCell ref="T112:T113"/>
    <mergeCell ref="S114:S115"/>
    <mergeCell ref="T114:T115"/>
    <mergeCell ref="AB104:AB105"/>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Q106:Q107"/>
    <mergeCell ref="R106:R107"/>
    <mergeCell ref="S106:S107"/>
    <mergeCell ref="T106:T107"/>
    <mergeCell ref="W106:W107"/>
    <mergeCell ref="X106:X107"/>
    <mergeCell ref="Y106:Y107"/>
    <mergeCell ref="Z106:Z107"/>
    <mergeCell ref="AC106:AC107"/>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J89:J90"/>
    <mergeCell ref="P89:P90"/>
    <mergeCell ref="V89:V90"/>
    <mergeCell ref="AB89:AB90"/>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P78:P79"/>
    <mergeCell ref="V78:V79"/>
    <mergeCell ref="AB78:AB79"/>
    <mergeCell ref="AH78:AH79"/>
    <mergeCell ref="J83:J84"/>
    <mergeCell ref="P83:P84"/>
    <mergeCell ref="V83:V84"/>
    <mergeCell ref="AB83:AB84"/>
    <mergeCell ref="AH83:AH84"/>
    <mergeCell ref="B80:AH80"/>
    <mergeCell ref="D74:D75"/>
    <mergeCell ref="J74:J75"/>
    <mergeCell ref="P74:P75"/>
    <mergeCell ref="V74:V75"/>
    <mergeCell ref="AB74:AB75"/>
    <mergeCell ref="AH74:AH75"/>
    <mergeCell ref="E74:E75"/>
    <mergeCell ref="F74:F75"/>
    <mergeCell ref="G74:G75"/>
    <mergeCell ref="H74:H75"/>
    <mergeCell ref="Z78:Z79"/>
    <mergeCell ref="AC74:AC75"/>
    <mergeCell ref="AD74:AD75"/>
    <mergeCell ref="AE74:AE75"/>
    <mergeCell ref="AF74:AF75"/>
    <mergeCell ref="AC78:AC79"/>
    <mergeCell ref="AD78:AD79"/>
    <mergeCell ref="AE78:AE79"/>
    <mergeCell ref="AF78:AF79"/>
    <mergeCell ref="E83:E84"/>
    <mergeCell ref="F83:F84"/>
    <mergeCell ref="G83:G84"/>
    <mergeCell ref="D71:D72"/>
    <mergeCell ref="J71:J72"/>
    <mergeCell ref="P71:P72"/>
    <mergeCell ref="V71:V72"/>
    <mergeCell ref="AB71:AB72"/>
    <mergeCell ref="AH71:AH72"/>
    <mergeCell ref="E71:E72"/>
    <mergeCell ref="F71:F72"/>
    <mergeCell ref="G71:G72"/>
    <mergeCell ref="H71:H72"/>
    <mergeCell ref="D69:D70"/>
    <mergeCell ref="J69:J70"/>
    <mergeCell ref="P69:P70"/>
    <mergeCell ref="V69:V70"/>
    <mergeCell ref="AB69:AB70"/>
    <mergeCell ref="AH69:AH70"/>
    <mergeCell ref="K69:K70"/>
    <mergeCell ref="L69:L70"/>
    <mergeCell ref="M69:M70"/>
    <mergeCell ref="N69:N70"/>
    <mergeCell ref="E69:E70"/>
    <mergeCell ref="F69:F70"/>
    <mergeCell ref="G69:G70"/>
    <mergeCell ref="H69:H70"/>
    <mergeCell ref="K71:K72"/>
    <mergeCell ref="L71:L72"/>
    <mergeCell ref="M71:M72"/>
    <mergeCell ref="N71:N72"/>
    <mergeCell ref="Q69:Q70"/>
    <mergeCell ref="R69:R70"/>
    <mergeCell ref="S69:S70"/>
    <mergeCell ref="T69:T70"/>
    <mergeCell ref="D67:D68"/>
    <mergeCell ref="J67:J68"/>
    <mergeCell ref="P67:P68"/>
    <mergeCell ref="V67:V68"/>
    <mergeCell ref="AB67:AB68"/>
    <mergeCell ref="AH67:AH68"/>
    <mergeCell ref="K67:K68"/>
    <mergeCell ref="L67:L68"/>
    <mergeCell ref="M67:M68"/>
    <mergeCell ref="N67:N68"/>
    <mergeCell ref="D65:D66"/>
    <mergeCell ref="J65:J66"/>
    <mergeCell ref="P65:P66"/>
    <mergeCell ref="V65:V66"/>
    <mergeCell ref="AB65:AB66"/>
    <mergeCell ref="AH65:AH66"/>
    <mergeCell ref="K65:K66"/>
    <mergeCell ref="L65:L66"/>
    <mergeCell ref="M65:M66"/>
    <mergeCell ref="N65:N66"/>
    <mergeCell ref="E65:E66"/>
    <mergeCell ref="E67:E68"/>
    <mergeCell ref="F65:F66"/>
    <mergeCell ref="F67:F68"/>
    <mergeCell ref="G65:G66"/>
    <mergeCell ref="G67:G68"/>
    <mergeCell ref="H65:H66"/>
    <mergeCell ref="H67:H68"/>
    <mergeCell ref="D63:D64"/>
    <mergeCell ref="J63:J64"/>
    <mergeCell ref="P63:P64"/>
    <mergeCell ref="V63:V64"/>
    <mergeCell ref="AB63:AB64"/>
    <mergeCell ref="AH63:AH64"/>
    <mergeCell ref="K63:K64"/>
    <mergeCell ref="L63:L64"/>
    <mergeCell ref="M63:M64"/>
    <mergeCell ref="N63:N64"/>
    <mergeCell ref="AH59:AH60"/>
    <mergeCell ref="D61:D62"/>
    <mergeCell ref="J61:J62"/>
    <mergeCell ref="P61:P62"/>
    <mergeCell ref="V61:V62"/>
    <mergeCell ref="AB61:AB62"/>
    <mergeCell ref="AH61:AH62"/>
    <mergeCell ref="D59:D60"/>
    <mergeCell ref="J59:J60"/>
    <mergeCell ref="P59:P60"/>
    <mergeCell ref="V59:V60"/>
    <mergeCell ref="AB59:AB60"/>
    <mergeCell ref="K59:K60"/>
    <mergeCell ref="L59:L60"/>
    <mergeCell ref="M59:M60"/>
    <mergeCell ref="N59:N60"/>
    <mergeCell ref="K61:K62"/>
    <mergeCell ref="L61:L62"/>
    <mergeCell ref="M61:M62"/>
    <mergeCell ref="N61:N62"/>
    <mergeCell ref="Q59:Q60"/>
    <mergeCell ref="R59:R60"/>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K54:K55"/>
    <mergeCell ref="L54:L55"/>
    <mergeCell ref="M54:M55"/>
    <mergeCell ref="N54:N55"/>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AH46:AH47"/>
    <mergeCell ref="D48:D49"/>
    <mergeCell ref="I48:I49"/>
    <mergeCell ref="J48:J49"/>
    <mergeCell ref="P48:P49"/>
    <mergeCell ref="V48:V49"/>
    <mergeCell ref="AB48:AB49"/>
    <mergeCell ref="AH48:AH49"/>
    <mergeCell ref="D46:D47"/>
    <mergeCell ref="I46:I47"/>
    <mergeCell ref="J46:J47"/>
    <mergeCell ref="P46:P47"/>
    <mergeCell ref="V46:V47"/>
    <mergeCell ref="AB46:AB47"/>
    <mergeCell ref="K46:K47"/>
    <mergeCell ref="L46:L47"/>
    <mergeCell ref="Q50:Q51"/>
    <mergeCell ref="R50:R51"/>
    <mergeCell ref="AH42:AH43"/>
    <mergeCell ref="D44:D45"/>
    <mergeCell ref="I44:I45"/>
    <mergeCell ref="J44:J45"/>
    <mergeCell ref="P44:P45"/>
    <mergeCell ref="V44:V45"/>
    <mergeCell ref="AB44:AB45"/>
    <mergeCell ref="AH44:AH45"/>
    <mergeCell ref="D42:D43"/>
    <mergeCell ref="I42:I43"/>
    <mergeCell ref="J42:J43"/>
    <mergeCell ref="P42:P43"/>
    <mergeCell ref="V42:V43"/>
    <mergeCell ref="AB42:AB43"/>
    <mergeCell ref="AH37:AH38"/>
    <mergeCell ref="D40:D41"/>
    <mergeCell ref="I40:I41"/>
    <mergeCell ref="J40:J41"/>
    <mergeCell ref="P40:P41"/>
    <mergeCell ref="V40:V41"/>
    <mergeCell ref="K40:K41"/>
    <mergeCell ref="L40:L41"/>
    <mergeCell ref="M40:M41"/>
    <mergeCell ref="N40:N41"/>
    <mergeCell ref="S40:S41"/>
    <mergeCell ref="T40:T41"/>
    <mergeCell ref="K42:K43"/>
    <mergeCell ref="L42:L43"/>
    <mergeCell ref="M42:M43"/>
    <mergeCell ref="N42:N43"/>
    <mergeCell ref="K44:K45"/>
    <mergeCell ref="L44:L45"/>
    <mergeCell ref="AH35:AH36"/>
    <mergeCell ref="AB40:AB41"/>
    <mergeCell ref="AH40:AH41"/>
    <mergeCell ref="D37:D38"/>
    <mergeCell ref="J37:J38"/>
    <mergeCell ref="O37:O38"/>
    <mergeCell ref="P37:P38"/>
    <mergeCell ref="V37:V38"/>
    <mergeCell ref="AB37:AB38"/>
    <mergeCell ref="D35:D36"/>
    <mergeCell ref="I35:I36"/>
    <mergeCell ref="J35:J36"/>
    <mergeCell ref="O35:O36"/>
    <mergeCell ref="P35:P36"/>
    <mergeCell ref="V35:V36"/>
    <mergeCell ref="L35:L36"/>
    <mergeCell ref="M35:M36"/>
    <mergeCell ref="N35:N36"/>
    <mergeCell ref="Q35:Q36"/>
    <mergeCell ref="E35:E36"/>
    <mergeCell ref="F35:F36"/>
    <mergeCell ref="G35:G36"/>
    <mergeCell ref="H35:H36"/>
    <mergeCell ref="K35:K36"/>
    <mergeCell ref="R35:R36"/>
    <mergeCell ref="S35:S36"/>
    <mergeCell ref="T35:T36"/>
    <mergeCell ref="U35:U36"/>
    <mergeCell ref="W35:W36"/>
    <mergeCell ref="X35:X36"/>
    <mergeCell ref="Y35:Y36"/>
    <mergeCell ref="Z35:Z36"/>
    <mergeCell ref="AH31:AH32"/>
    <mergeCell ref="D33:D34"/>
    <mergeCell ref="I33:I34"/>
    <mergeCell ref="J33:J34"/>
    <mergeCell ref="O33:O34"/>
    <mergeCell ref="P33:P34"/>
    <mergeCell ref="V33:V34"/>
    <mergeCell ref="AB33:AB34"/>
    <mergeCell ref="AH33:AH34"/>
    <mergeCell ref="D31:D32"/>
    <mergeCell ref="I31:I32"/>
    <mergeCell ref="J31:J32"/>
    <mergeCell ref="O31:O32"/>
    <mergeCell ref="P31:P32"/>
    <mergeCell ref="V31:V32"/>
    <mergeCell ref="N31:N32"/>
    <mergeCell ref="Q31:Q32"/>
    <mergeCell ref="R31:R32"/>
    <mergeCell ref="S31:S32"/>
    <mergeCell ref="E31:E32"/>
    <mergeCell ref="F31:F32"/>
    <mergeCell ref="G31:G32"/>
    <mergeCell ref="H31:H32"/>
    <mergeCell ref="K31:K32"/>
    <mergeCell ref="L31:L32"/>
    <mergeCell ref="M31:M32"/>
    <mergeCell ref="T31:T32"/>
    <mergeCell ref="U31:U32"/>
    <mergeCell ref="W31:W32"/>
    <mergeCell ref="X31:X32"/>
    <mergeCell ref="Y31:Y32"/>
    <mergeCell ref="Z31:Z32"/>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L27:L28"/>
    <mergeCell ref="M27:M28"/>
    <mergeCell ref="N27:N28"/>
    <mergeCell ref="Q27:Q28"/>
    <mergeCell ref="E27:E28"/>
    <mergeCell ref="F27:F28"/>
    <mergeCell ref="G27:G28"/>
    <mergeCell ref="H27:H28"/>
    <mergeCell ref="K27:K28"/>
    <mergeCell ref="R27:R28"/>
    <mergeCell ref="S27:S28"/>
    <mergeCell ref="T27:T28"/>
    <mergeCell ref="U27:U28"/>
    <mergeCell ref="W27:W28"/>
    <mergeCell ref="X27:X28"/>
    <mergeCell ref="Y27:Y28"/>
    <mergeCell ref="Z27:Z28"/>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N23:N24"/>
    <mergeCell ref="Q23:Q24"/>
    <mergeCell ref="R23:R24"/>
    <mergeCell ref="S23:S24"/>
    <mergeCell ref="E23:E24"/>
    <mergeCell ref="F23:F24"/>
    <mergeCell ref="G23:G24"/>
    <mergeCell ref="H23:H24"/>
    <mergeCell ref="K23:K24"/>
    <mergeCell ref="L23:L24"/>
    <mergeCell ref="M23:M24"/>
    <mergeCell ref="T23:T24"/>
    <mergeCell ref="U23:U24"/>
    <mergeCell ref="W23:W24"/>
    <mergeCell ref="X23:X24"/>
    <mergeCell ref="Y23:Y24"/>
    <mergeCell ref="Z23:Z24"/>
    <mergeCell ref="AH19:AH20"/>
    <mergeCell ref="D21:D22"/>
    <mergeCell ref="I21:I22"/>
    <mergeCell ref="J21:J22"/>
    <mergeCell ref="O21:O22"/>
    <mergeCell ref="P21:P22"/>
    <mergeCell ref="V21:V22"/>
    <mergeCell ref="AB21:AB22"/>
    <mergeCell ref="AH21:AH22"/>
    <mergeCell ref="D19:D20"/>
    <mergeCell ref="I19:I20"/>
    <mergeCell ref="J19:J20"/>
    <mergeCell ref="O19:O20"/>
    <mergeCell ref="P19:P20"/>
    <mergeCell ref="V19:V20"/>
    <mergeCell ref="L19:L20"/>
    <mergeCell ref="M19:M20"/>
    <mergeCell ref="N19:N20"/>
    <mergeCell ref="Q19:Q20"/>
    <mergeCell ref="E19:E20"/>
    <mergeCell ref="F19:F20"/>
    <mergeCell ref="G19:G20"/>
    <mergeCell ref="H19:H20"/>
    <mergeCell ref="K19:K20"/>
    <mergeCell ref="R19:R20"/>
    <mergeCell ref="S19:S20"/>
    <mergeCell ref="T19:T20"/>
    <mergeCell ref="U19:U20"/>
    <mergeCell ref="W19:W20"/>
    <mergeCell ref="X19:X20"/>
    <mergeCell ref="Y19:Y20"/>
    <mergeCell ref="Z19:Z20"/>
    <mergeCell ref="AH15:AH16"/>
    <mergeCell ref="D17:D18"/>
    <mergeCell ref="I17:I18"/>
    <mergeCell ref="J17:J18"/>
    <mergeCell ref="O17:O18"/>
    <mergeCell ref="P17:P18"/>
    <mergeCell ref="V17:V18"/>
    <mergeCell ref="AB17:AB18"/>
    <mergeCell ref="AH17:AH18"/>
    <mergeCell ref="D15:D16"/>
    <mergeCell ref="I15:I16"/>
    <mergeCell ref="J15:J16"/>
    <mergeCell ref="O15:O16"/>
    <mergeCell ref="P15:P16"/>
    <mergeCell ref="V15:V16"/>
    <mergeCell ref="H15:H16"/>
    <mergeCell ref="K15:K16"/>
    <mergeCell ref="L15:L16"/>
    <mergeCell ref="M15:M16"/>
    <mergeCell ref="AA17:AA18"/>
    <mergeCell ref="AC17:AC18"/>
    <mergeCell ref="AD17:AD18"/>
    <mergeCell ref="AE17:AE18"/>
    <mergeCell ref="AF17:AF18"/>
    <mergeCell ref="AG17:AG18"/>
    <mergeCell ref="AC10:AG10"/>
    <mergeCell ref="E11:J11"/>
    <mergeCell ref="K11:O11"/>
    <mergeCell ref="Q11:U11"/>
    <mergeCell ref="W11:AA11"/>
    <mergeCell ref="AC11:AG11"/>
    <mergeCell ref="C93:C94"/>
    <mergeCell ref="B89:B94"/>
    <mergeCell ref="C89:C90"/>
    <mergeCell ref="C91:C92"/>
    <mergeCell ref="C185:C186"/>
    <mergeCell ref="Y5:Y6"/>
    <mergeCell ref="E10:I10"/>
    <mergeCell ref="K10:P10"/>
    <mergeCell ref="Q10:V10"/>
    <mergeCell ref="W10:AA10"/>
    <mergeCell ref="B137:B142"/>
    <mergeCell ref="C163:C164"/>
    <mergeCell ref="B146:B151"/>
    <mergeCell ref="B15:B20"/>
    <mergeCell ref="C15:C16"/>
    <mergeCell ref="C17:C18"/>
    <mergeCell ref="C19:C20"/>
    <mergeCell ref="C127:C128"/>
    <mergeCell ref="B77:C77"/>
    <mergeCell ref="B95:C95"/>
    <mergeCell ref="C159:C160"/>
    <mergeCell ref="C155:C156"/>
    <mergeCell ref="C157:C158"/>
    <mergeCell ref="C153:C154"/>
    <mergeCell ref="B131:B136"/>
    <mergeCell ref="B143:B145"/>
    <mergeCell ref="B65:C66"/>
    <mergeCell ref="B63:C64"/>
    <mergeCell ref="B83:B88"/>
    <mergeCell ref="B96:B101"/>
    <mergeCell ref="B61:C62"/>
    <mergeCell ref="C29:C30"/>
    <mergeCell ref="C31:C32"/>
    <mergeCell ref="B27:B32"/>
    <mergeCell ref="C25:C26"/>
    <mergeCell ref="A153:A188"/>
    <mergeCell ref="A125:A151"/>
    <mergeCell ref="A109:A123"/>
    <mergeCell ref="C131:C132"/>
    <mergeCell ref="C133:C134"/>
    <mergeCell ref="C135:C136"/>
    <mergeCell ref="A15:A38"/>
    <mergeCell ref="B33:B38"/>
    <mergeCell ref="C33:C34"/>
    <mergeCell ref="C35:C36"/>
    <mergeCell ref="C37:C38"/>
    <mergeCell ref="C27:C28"/>
    <mergeCell ref="B125:B130"/>
    <mergeCell ref="B108:C108"/>
    <mergeCell ref="C87:C88"/>
    <mergeCell ref="C83:C84"/>
    <mergeCell ref="B78:C79"/>
    <mergeCell ref="B110:C111"/>
    <mergeCell ref="C100:C101"/>
    <mergeCell ref="C98:C99"/>
    <mergeCell ref="C96:C97"/>
    <mergeCell ref="B73:AH73"/>
    <mergeCell ref="A4:C4"/>
    <mergeCell ref="A7:C7"/>
    <mergeCell ref="B46:B51"/>
    <mergeCell ref="B109:C109"/>
    <mergeCell ref="C44:C45"/>
    <mergeCell ref="B52:B57"/>
    <mergeCell ref="B40:B45"/>
    <mergeCell ref="C42:C43"/>
    <mergeCell ref="C50:C51"/>
    <mergeCell ref="B81:C81"/>
    <mergeCell ref="B10:B12"/>
    <mergeCell ref="C10:C12"/>
    <mergeCell ref="A40:A57"/>
    <mergeCell ref="C56:C57"/>
    <mergeCell ref="C40:C41"/>
    <mergeCell ref="C46:C47"/>
    <mergeCell ref="C48:C49"/>
    <mergeCell ref="B21:B26"/>
    <mergeCell ref="C23:C24"/>
    <mergeCell ref="C21:C22"/>
    <mergeCell ref="C52:C53"/>
    <mergeCell ref="C54:C55"/>
    <mergeCell ref="A82:A107"/>
    <mergeCell ref="A74:A79"/>
    <mergeCell ref="B74:C75"/>
    <mergeCell ref="B76:C76"/>
    <mergeCell ref="B67:C68"/>
    <mergeCell ref="B69:C70"/>
    <mergeCell ref="B59:C60"/>
    <mergeCell ref="C85:C86"/>
    <mergeCell ref="A59:A72"/>
    <mergeCell ref="B71:C72"/>
    <mergeCell ref="A222:A223"/>
    <mergeCell ref="B222:B223"/>
    <mergeCell ref="C222:C223"/>
    <mergeCell ref="A213:A218"/>
    <mergeCell ref="B213:C214"/>
    <mergeCell ref="A196:A211"/>
    <mergeCell ref="B177:B182"/>
    <mergeCell ref="B165:B170"/>
    <mergeCell ref="B153:B158"/>
    <mergeCell ref="A190:A193"/>
    <mergeCell ref="B202:B207"/>
    <mergeCell ref="B208:C209"/>
    <mergeCell ref="C204:C205"/>
    <mergeCell ref="B210:C211"/>
    <mergeCell ref="B198:C199"/>
    <mergeCell ref="B200:C201"/>
    <mergeCell ref="C206:C207"/>
    <mergeCell ref="B192:C193"/>
    <mergeCell ref="B190:C191"/>
    <mergeCell ref="C183:C184"/>
    <mergeCell ref="B183:B188"/>
    <mergeCell ref="C179:C180"/>
    <mergeCell ref="C187:C188"/>
    <mergeCell ref="C177:C178"/>
    <mergeCell ref="C181:C182"/>
    <mergeCell ref="B159:B164"/>
    <mergeCell ref="C171:C172"/>
    <mergeCell ref="C161:C162"/>
    <mergeCell ref="C173:C174"/>
    <mergeCell ref="C175:C176"/>
    <mergeCell ref="C165:C166"/>
    <mergeCell ref="C167:C168"/>
    <mergeCell ref="C249:C250"/>
    <mergeCell ref="B228:C229"/>
    <mergeCell ref="C122:C123"/>
    <mergeCell ref="C120:C121"/>
    <mergeCell ref="C118:C119"/>
    <mergeCell ref="B226:C227"/>
    <mergeCell ref="B230:C231"/>
    <mergeCell ref="C125:C126"/>
    <mergeCell ref="B215:C216"/>
    <mergeCell ref="B217:C218"/>
    <mergeCell ref="B102:B107"/>
    <mergeCell ref="C102:C103"/>
    <mergeCell ref="C104:C105"/>
    <mergeCell ref="C106:C107"/>
    <mergeCell ref="C114:C115"/>
    <mergeCell ref="C116:C117"/>
    <mergeCell ref="B196:C197"/>
    <mergeCell ref="C202:C203"/>
    <mergeCell ref="C141:C142"/>
    <mergeCell ref="C129:C130"/>
    <mergeCell ref="C139:C140"/>
    <mergeCell ref="C148:C149"/>
    <mergeCell ref="C239:C240"/>
    <mergeCell ref="B112:B117"/>
    <mergeCell ref="B118:B123"/>
    <mergeCell ref="C150:C151"/>
    <mergeCell ref="C112:C113"/>
    <mergeCell ref="C146:C147"/>
    <mergeCell ref="C169:C170"/>
    <mergeCell ref="B171:B176"/>
    <mergeCell ref="C137:C138"/>
    <mergeCell ref="A237:A254"/>
    <mergeCell ref="B237:B242"/>
    <mergeCell ref="C241:C242"/>
    <mergeCell ref="C243:C244"/>
    <mergeCell ref="C245:C246"/>
    <mergeCell ref="B243:B248"/>
    <mergeCell ref="C251:C252"/>
    <mergeCell ref="C247:C248"/>
    <mergeCell ref="B249:B254"/>
    <mergeCell ref="A226:A235"/>
    <mergeCell ref="C253:C254"/>
    <mergeCell ref="B232:C233"/>
    <mergeCell ref="B234:C235"/>
    <mergeCell ref="B236:C236"/>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90:D191"/>
    <mergeCell ref="D247:D248"/>
    <mergeCell ref="B212:AH212"/>
    <mergeCell ref="K181:K182"/>
    <mergeCell ref="L181:L182"/>
    <mergeCell ref="M181:M182"/>
    <mergeCell ref="K163:K164"/>
    <mergeCell ref="L163:L164"/>
    <mergeCell ref="M163:M164"/>
    <mergeCell ref="N163:N164"/>
    <mergeCell ref="K165:K166"/>
    <mergeCell ref="L165:L166"/>
    <mergeCell ref="M165:M166"/>
    <mergeCell ref="N165:N166"/>
    <mergeCell ref="K167:K168"/>
    <mergeCell ref="L167:L168"/>
    <mergeCell ref="M167:M168"/>
    <mergeCell ref="N167:N168"/>
    <mergeCell ref="K169:K170"/>
    <mergeCell ref="L169:L170"/>
    <mergeCell ref="D249:D250"/>
    <mergeCell ref="D251:D252"/>
    <mergeCell ref="D253:D254"/>
    <mergeCell ref="D192:D193"/>
    <mergeCell ref="D237:D238"/>
    <mergeCell ref="D239:D240"/>
    <mergeCell ref="D241:D242"/>
    <mergeCell ref="D196:D197"/>
    <mergeCell ref="D243:D244"/>
    <mergeCell ref="D245:D246"/>
    <mergeCell ref="A5:B5"/>
    <mergeCell ref="A6:B6"/>
    <mergeCell ref="D198:D199"/>
    <mergeCell ref="D208:D209"/>
    <mergeCell ref="B194:AH194"/>
    <mergeCell ref="B195:AH195"/>
    <mergeCell ref="D187:D188"/>
    <mergeCell ref="E15:E16"/>
    <mergeCell ref="F15:F16"/>
    <mergeCell ref="G15:G16"/>
    <mergeCell ref="L17:L18"/>
    <mergeCell ref="M17:M18"/>
    <mergeCell ref="N17:N18"/>
    <mergeCell ref="Q17:Q18"/>
    <mergeCell ref="R17:R18"/>
    <mergeCell ref="S17:S18"/>
    <mergeCell ref="T17:T18"/>
    <mergeCell ref="U17:U18"/>
    <mergeCell ref="W17:W18"/>
    <mergeCell ref="X17:X18"/>
    <mergeCell ref="Y17:Y18"/>
    <mergeCell ref="Z17:Z18"/>
    <mergeCell ref="A2:J2"/>
    <mergeCell ref="A3:I3"/>
    <mergeCell ref="A8:K8"/>
    <mergeCell ref="B225:AH225"/>
    <mergeCell ref="B14:AH14"/>
    <mergeCell ref="B39:AH39"/>
    <mergeCell ref="B58:AH58"/>
    <mergeCell ref="B124:AH124"/>
    <mergeCell ref="B152:AH152"/>
    <mergeCell ref="B189:AH189"/>
    <mergeCell ref="N15:N16"/>
    <mergeCell ref="Q15:Q16"/>
    <mergeCell ref="R15:R16"/>
    <mergeCell ref="S15:S16"/>
    <mergeCell ref="T15:T16"/>
    <mergeCell ref="U15:U16"/>
    <mergeCell ref="W15:W16"/>
    <mergeCell ref="X15:X16"/>
    <mergeCell ref="Y15:Y16"/>
    <mergeCell ref="Z15:Z16"/>
    <mergeCell ref="AA15:AA16"/>
    <mergeCell ref="AC15:AC16"/>
    <mergeCell ref="AB15:AB16"/>
    <mergeCell ref="AD15:AD16"/>
    <mergeCell ref="AE15:AE16"/>
    <mergeCell ref="AF15:AF16"/>
    <mergeCell ref="AG15:AG16"/>
    <mergeCell ref="E17:E18"/>
    <mergeCell ref="F17:F18"/>
    <mergeCell ref="G17:G18"/>
    <mergeCell ref="H17:H18"/>
    <mergeCell ref="K17:K18"/>
    <mergeCell ref="AA19:AA20"/>
    <mergeCell ref="AC19:AC20"/>
    <mergeCell ref="AD19:AD20"/>
    <mergeCell ref="AE19:AE20"/>
    <mergeCell ref="AB19:AB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AA23:AA24"/>
    <mergeCell ref="AC23:AC24"/>
    <mergeCell ref="AD23:AD24"/>
    <mergeCell ref="AE23:AE24"/>
    <mergeCell ref="AF23:AF24"/>
    <mergeCell ref="AG23:AG24"/>
    <mergeCell ref="AB23:AB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A27:AA28"/>
    <mergeCell ref="AC27:AC28"/>
    <mergeCell ref="AD27:AD28"/>
    <mergeCell ref="AE27:AE28"/>
    <mergeCell ref="AB27:AB28"/>
    <mergeCell ref="AF27:AF28"/>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AA31:AA32"/>
    <mergeCell ref="AC31:AC32"/>
    <mergeCell ref="AD31:AD32"/>
    <mergeCell ref="AE31:AE32"/>
    <mergeCell ref="AF31:AF32"/>
    <mergeCell ref="AG31:AG32"/>
    <mergeCell ref="AB31:AB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AA35:AA36"/>
    <mergeCell ref="AC35:AC36"/>
    <mergeCell ref="AD35:AD36"/>
    <mergeCell ref="AE35:AE36"/>
    <mergeCell ref="AB35:AB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M44:M45"/>
    <mergeCell ref="N44:N45"/>
    <mergeCell ref="M46:M47"/>
    <mergeCell ref="N46:N47"/>
    <mergeCell ref="K48:K49"/>
    <mergeCell ref="L48:L49"/>
    <mergeCell ref="M48:M49"/>
    <mergeCell ref="N48:N49"/>
    <mergeCell ref="K50:K51"/>
    <mergeCell ref="L50:L51"/>
    <mergeCell ref="M50:M51"/>
    <mergeCell ref="N50:N51"/>
    <mergeCell ref="K52:K53"/>
    <mergeCell ref="L52:L53"/>
    <mergeCell ref="M52:M53"/>
    <mergeCell ref="N52:N53"/>
    <mergeCell ref="K56:K57"/>
    <mergeCell ref="L56:L57"/>
    <mergeCell ref="M56:M57"/>
    <mergeCell ref="N56:N57"/>
    <mergeCell ref="W40:W41"/>
    <mergeCell ref="X40:X41"/>
    <mergeCell ref="Y40:Y41"/>
    <mergeCell ref="W50:W51"/>
    <mergeCell ref="X50:X51"/>
    <mergeCell ref="Y50:Y51"/>
    <mergeCell ref="Q40:Q41"/>
    <mergeCell ref="R40:R41"/>
    <mergeCell ref="Q42:Q43"/>
    <mergeCell ref="R42:R43"/>
    <mergeCell ref="Q46:Q47"/>
    <mergeCell ref="R46:R47"/>
    <mergeCell ref="S42:S43"/>
    <mergeCell ref="T42:T43"/>
    <mergeCell ref="Q44:Q45"/>
    <mergeCell ref="R44:R45"/>
    <mergeCell ref="S44:S45"/>
    <mergeCell ref="T44:T45"/>
    <mergeCell ref="S46:S47"/>
    <mergeCell ref="T46:T47"/>
    <mergeCell ref="Q48:Q49"/>
    <mergeCell ref="R48:R49"/>
    <mergeCell ref="S48:S49"/>
    <mergeCell ref="T48:T49"/>
    <mergeCell ref="Y46:Y47"/>
    <mergeCell ref="Z46:Z47"/>
    <mergeCell ref="W48:W49"/>
    <mergeCell ref="X48:X49"/>
    <mergeCell ref="Y48:Y49"/>
    <mergeCell ref="Z48:Z49"/>
    <mergeCell ref="S50:S51"/>
    <mergeCell ref="T50:T51"/>
    <mergeCell ref="Q52:Q53"/>
    <mergeCell ref="R52:R53"/>
    <mergeCell ref="S52:S53"/>
    <mergeCell ref="T52:T53"/>
    <mergeCell ref="Q54:Q55"/>
    <mergeCell ref="R54:R55"/>
    <mergeCell ref="S54:S55"/>
    <mergeCell ref="T54:T55"/>
    <mergeCell ref="Q56:Q57"/>
    <mergeCell ref="R56:R57"/>
    <mergeCell ref="S56:S57"/>
    <mergeCell ref="T56:T57"/>
    <mergeCell ref="Z50:Z51"/>
    <mergeCell ref="W52:W53"/>
    <mergeCell ref="X52:X53"/>
    <mergeCell ref="Y52:Y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C52:AC53"/>
    <mergeCell ref="AD52:AD53"/>
    <mergeCell ref="Z40:Z41"/>
    <mergeCell ref="W42:W43"/>
    <mergeCell ref="X42:X43"/>
    <mergeCell ref="Y42:Y43"/>
    <mergeCell ref="Z42:Z43"/>
    <mergeCell ref="W44:W45"/>
    <mergeCell ref="X44:X45"/>
    <mergeCell ref="Y44:Y45"/>
    <mergeCell ref="Z44:Z45"/>
    <mergeCell ref="W46:W47"/>
    <mergeCell ref="X46:X47"/>
    <mergeCell ref="AE40:AE41"/>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E52:AE53"/>
    <mergeCell ref="AF52:AF53"/>
    <mergeCell ref="AC54:AC55"/>
    <mergeCell ref="AD54:AD55"/>
    <mergeCell ref="AE54:AE55"/>
    <mergeCell ref="AF54:AF55"/>
    <mergeCell ref="AC56:AC57"/>
    <mergeCell ref="AD56:AD57"/>
    <mergeCell ref="AE56:AE57"/>
    <mergeCell ref="AF56:AF57"/>
    <mergeCell ref="E40:E41"/>
    <mergeCell ref="F40:F41"/>
    <mergeCell ref="G40:G41"/>
    <mergeCell ref="H40:H41"/>
    <mergeCell ref="E42:E43"/>
    <mergeCell ref="F42:F43"/>
    <mergeCell ref="G42:G43"/>
    <mergeCell ref="H42:H43"/>
    <mergeCell ref="E44:E45"/>
    <mergeCell ref="F44:F45"/>
    <mergeCell ref="G44:G45"/>
    <mergeCell ref="H44:H45"/>
    <mergeCell ref="E46:E47"/>
    <mergeCell ref="F46:F47"/>
    <mergeCell ref="G46:G47"/>
    <mergeCell ref="H46:H47"/>
    <mergeCell ref="E48:E49"/>
    <mergeCell ref="F48:F49"/>
    <mergeCell ref="G48:G49"/>
    <mergeCell ref="H48:H49"/>
    <mergeCell ref="E50:E51"/>
    <mergeCell ref="F50:F51"/>
    <mergeCell ref="G50:G51"/>
    <mergeCell ref="H50:H51"/>
    <mergeCell ref="E52:E53"/>
    <mergeCell ref="F52:F53"/>
    <mergeCell ref="G52:G53"/>
    <mergeCell ref="H52:H53"/>
    <mergeCell ref="E54:E55"/>
    <mergeCell ref="F54:F55"/>
    <mergeCell ref="G54:G55"/>
    <mergeCell ref="H54:H55"/>
    <mergeCell ref="E56:E57"/>
    <mergeCell ref="F56:F57"/>
    <mergeCell ref="G56:G57"/>
    <mergeCell ref="H56:H57"/>
    <mergeCell ref="E59:E60"/>
    <mergeCell ref="E61:E62"/>
    <mergeCell ref="E63:E64"/>
    <mergeCell ref="F59:F60"/>
    <mergeCell ref="F61:F62"/>
    <mergeCell ref="F63:F64"/>
    <mergeCell ref="G59:G60"/>
    <mergeCell ref="G61:G62"/>
    <mergeCell ref="G63:G64"/>
    <mergeCell ref="H59:H60"/>
    <mergeCell ref="H61:H62"/>
    <mergeCell ref="H63:H64"/>
    <mergeCell ref="Q63:Q64"/>
    <mergeCell ref="R63:R64"/>
    <mergeCell ref="Q67:Q68"/>
    <mergeCell ref="R67:R68"/>
    <mergeCell ref="S59:S60"/>
    <mergeCell ref="T59:T60"/>
    <mergeCell ref="Q61:Q62"/>
    <mergeCell ref="R61:R62"/>
    <mergeCell ref="S61:S62"/>
    <mergeCell ref="T61:T62"/>
    <mergeCell ref="S63:S64"/>
    <mergeCell ref="T63:T64"/>
    <mergeCell ref="Q65:Q66"/>
    <mergeCell ref="R65:R66"/>
    <mergeCell ref="S65:S66"/>
    <mergeCell ref="T65:T66"/>
    <mergeCell ref="S67:S68"/>
    <mergeCell ref="T67:T68"/>
    <mergeCell ref="Q71:Q72"/>
    <mergeCell ref="R71:R72"/>
    <mergeCell ref="S71:S72"/>
    <mergeCell ref="T71:T72"/>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W71:W72"/>
    <mergeCell ref="X71:X72"/>
    <mergeCell ref="Y71:Y72"/>
    <mergeCell ref="Z71:Z72"/>
    <mergeCell ref="AC61:AC62"/>
    <mergeCell ref="AD61:AD62"/>
    <mergeCell ref="AC65:AC66"/>
    <mergeCell ref="AD65:AD66"/>
    <mergeCell ref="AC69:AC70"/>
    <mergeCell ref="AD69:AD70"/>
    <mergeCell ref="AE61:AE62"/>
    <mergeCell ref="AF61:AF62"/>
    <mergeCell ref="AC63:AC64"/>
    <mergeCell ref="AD63:AD64"/>
    <mergeCell ref="AE63:AE64"/>
    <mergeCell ref="AF63:AF64"/>
    <mergeCell ref="AE65:AE66"/>
    <mergeCell ref="AF65:AF66"/>
    <mergeCell ref="AC67:AC68"/>
    <mergeCell ref="AD67:AD68"/>
    <mergeCell ref="AE67:AE68"/>
    <mergeCell ref="AF67:AF68"/>
    <mergeCell ref="AE69:AE70"/>
    <mergeCell ref="AF69:AF70"/>
    <mergeCell ref="AC71:AC72"/>
    <mergeCell ref="AD71:AD72"/>
    <mergeCell ref="AE71:AE72"/>
    <mergeCell ref="AF71:AF72"/>
    <mergeCell ref="E78:E79"/>
    <mergeCell ref="F78:F79"/>
    <mergeCell ref="G78:G79"/>
    <mergeCell ref="H78:H79"/>
    <mergeCell ref="K74:K75"/>
    <mergeCell ref="L74:L75"/>
    <mergeCell ref="J78:J79"/>
    <mergeCell ref="M74:M75"/>
    <mergeCell ref="N74:N75"/>
    <mergeCell ref="K78:K79"/>
    <mergeCell ref="L78:L79"/>
    <mergeCell ref="M78:M79"/>
    <mergeCell ref="N78:N79"/>
    <mergeCell ref="Q74:Q75"/>
    <mergeCell ref="R74:R75"/>
    <mergeCell ref="S74:S75"/>
    <mergeCell ref="T74:T75"/>
    <mergeCell ref="Q78:Q79"/>
    <mergeCell ref="R78:R79"/>
    <mergeCell ref="S78:S79"/>
    <mergeCell ref="T78:T79"/>
    <mergeCell ref="W74:W75"/>
    <mergeCell ref="X74:X75"/>
    <mergeCell ref="Y74:Y75"/>
    <mergeCell ref="Z74:Z75"/>
    <mergeCell ref="W78:W79"/>
    <mergeCell ref="X78:X79"/>
    <mergeCell ref="Y78:Y79"/>
    <mergeCell ref="H83:H84"/>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AC93:AC94"/>
    <mergeCell ref="AD93:AD94"/>
    <mergeCell ref="AE93:AE94"/>
    <mergeCell ref="AF93:AF94"/>
    <mergeCell ref="W83:W84"/>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H98:H99"/>
    <mergeCell ref="E100:E101"/>
    <mergeCell ref="F100:F101"/>
    <mergeCell ref="G100:G101"/>
    <mergeCell ref="H100:H101"/>
    <mergeCell ref="E102:E103"/>
    <mergeCell ref="F102:F103"/>
    <mergeCell ref="G102:G103"/>
    <mergeCell ref="H102:H103"/>
    <mergeCell ref="E104:E105"/>
    <mergeCell ref="F104:F105"/>
    <mergeCell ref="G104:G105"/>
    <mergeCell ref="H104:H105"/>
    <mergeCell ref="W93:W94"/>
    <mergeCell ref="X93:X94"/>
    <mergeCell ref="Y93:Y94"/>
    <mergeCell ref="Z93:Z94"/>
    <mergeCell ref="J104:J105"/>
    <mergeCell ref="P104:P105"/>
    <mergeCell ref="V104:V105"/>
    <mergeCell ref="E106:E107"/>
    <mergeCell ref="F106:F107"/>
    <mergeCell ref="G106:G107"/>
    <mergeCell ref="H106:H107"/>
    <mergeCell ref="K96:K97"/>
    <mergeCell ref="L96:L97"/>
    <mergeCell ref="K100:K101"/>
    <mergeCell ref="L100:L101"/>
    <mergeCell ref="K104:K105"/>
    <mergeCell ref="L104:L105"/>
    <mergeCell ref="M96:M97"/>
    <mergeCell ref="N96:N97"/>
    <mergeCell ref="K98:K99"/>
    <mergeCell ref="L98:L99"/>
    <mergeCell ref="M98:M99"/>
    <mergeCell ref="N98:N99"/>
    <mergeCell ref="M100:M101"/>
    <mergeCell ref="N100:N101"/>
    <mergeCell ref="K102:K103"/>
    <mergeCell ref="L102:L103"/>
    <mergeCell ref="M102:M103"/>
    <mergeCell ref="N102:N103"/>
    <mergeCell ref="M104:M105"/>
    <mergeCell ref="N104:N105"/>
    <mergeCell ref="K106:K107"/>
    <mergeCell ref="L106:L107"/>
    <mergeCell ref="M106:M107"/>
    <mergeCell ref="N106:N107"/>
    <mergeCell ref="H96:H97"/>
    <mergeCell ref="E98:E99"/>
    <mergeCell ref="F98:F99"/>
    <mergeCell ref="G98:G99"/>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W96:W97"/>
    <mergeCell ref="X96:X97"/>
    <mergeCell ref="Y96:Y97"/>
    <mergeCell ref="Z96:Z97"/>
    <mergeCell ref="W98:W99"/>
    <mergeCell ref="X98:X99"/>
    <mergeCell ref="Y98:Y99"/>
    <mergeCell ref="Z98:Z99"/>
    <mergeCell ref="W100:W101"/>
    <mergeCell ref="X100:X101"/>
    <mergeCell ref="Y100:Y101"/>
    <mergeCell ref="Z100:Z101"/>
    <mergeCell ref="W102:W103"/>
    <mergeCell ref="X102:X103"/>
    <mergeCell ref="Y102:Y103"/>
    <mergeCell ref="Z102:Z103"/>
    <mergeCell ref="W104:W105"/>
    <mergeCell ref="X104:X105"/>
    <mergeCell ref="Y104:Y105"/>
    <mergeCell ref="Z104:Z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M110:M111"/>
    <mergeCell ref="N110:N111"/>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Q116:Q117"/>
    <mergeCell ref="R116:R117"/>
    <mergeCell ref="S116:S117"/>
    <mergeCell ref="T116:T117"/>
    <mergeCell ref="S118:S119"/>
    <mergeCell ref="T118:T119"/>
    <mergeCell ref="Q120:Q121"/>
    <mergeCell ref="R120:R121"/>
    <mergeCell ref="S120:S121"/>
    <mergeCell ref="T120:T121"/>
    <mergeCell ref="Q122:Q123"/>
    <mergeCell ref="R122:R123"/>
    <mergeCell ref="S122:S123"/>
    <mergeCell ref="T122:T123"/>
    <mergeCell ref="W110:W111"/>
    <mergeCell ref="X110:X111"/>
    <mergeCell ref="W114:W115"/>
    <mergeCell ref="X114:X115"/>
    <mergeCell ref="W118:W119"/>
    <mergeCell ref="X118:X119"/>
    <mergeCell ref="W122:W123"/>
    <mergeCell ref="X122:X123"/>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2:AC123"/>
    <mergeCell ref="AD122:AD123"/>
    <mergeCell ref="AE122:AE123"/>
    <mergeCell ref="AF122:AF123"/>
    <mergeCell ref="J125:J126"/>
    <mergeCell ref="P125:P126"/>
    <mergeCell ref="V125:V126"/>
    <mergeCell ref="AB125:AB126"/>
    <mergeCell ref="N125:N126"/>
    <mergeCell ref="W125:W126"/>
    <mergeCell ref="AH125:AH126"/>
    <mergeCell ref="E125:E126"/>
    <mergeCell ref="F125:F126"/>
    <mergeCell ref="G125:G126"/>
    <mergeCell ref="H125:H126"/>
    <mergeCell ref="E127:E128"/>
    <mergeCell ref="F127:F128"/>
    <mergeCell ref="G127:G128"/>
    <mergeCell ref="H127:H128"/>
    <mergeCell ref="M125:M126"/>
    <mergeCell ref="Q127:Q128"/>
    <mergeCell ref="X125:X126"/>
    <mergeCell ref="Y125:Y126"/>
    <mergeCell ref="Z125:Z126"/>
    <mergeCell ref="W127:W128"/>
    <mergeCell ref="X127:X128"/>
    <mergeCell ref="Y127:Y128"/>
    <mergeCell ref="Z127:Z128"/>
    <mergeCell ref="AE125:AE126"/>
    <mergeCell ref="AF125:AF126"/>
    <mergeCell ref="AC127:AC128"/>
    <mergeCell ref="AD127:AD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K125:K126"/>
    <mergeCell ref="L125:L126"/>
    <mergeCell ref="K127:K128"/>
    <mergeCell ref="L127:L128"/>
    <mergeCell ref="K131:K132"/>
    <mergeCell ref="L131:L132"/>
    <mergeCell ref="M127:M128"/>
    <mergeCell ref="N127:N128"/>
    <mergeCell ref="K129:K130"/>
    <mergeCell ref="L129:L130"/>
    <mergeCell ref="M129:M130"/>
    <mergeCell ref="N129:N130"/>
    <mergeCell ref="M131:M132"/>
    <mergeCell ref="N131:N132"/>
    <mergeCell ref="K133:K134"/>
    <mergeCell ref="L133:L134"/>
    <mergeCell ref="M133:M134"/>
    <mergeCell ref="N133:N134"/>
    <mergeCell ref="K135:K136"/>
    <mergeCell ref="L135:L136"/>
    <mergeCell ref="M135:M136"/>
    <mergeCell ref="N135:N136"/>
    <mergeCell ref="K137:K138"/>
    <mergeCell ref="L137:L138"/>
    <mergeCell ref="Q139:Q140"/>
    <mergeCell ref="Q141:Q142"/>
    <mergeCell ref="R127:R128"/>
    <mergeCell ref="R129:R130"/>
    <mergeCell ref="R131:R132"/>
    <mergeCell ref="R133:R134"/>
    <mergeCell ref="R135:R136"/>
    <mergeCell ref="R137:R138"/>
    <mergeCell ref="Q125:Q126"/>
    <mergeCell ref="R125:R126"/>
    <mergeCell ref="S125:S126"/>
    <mergeCell ref="T125:T126"/>
    <mergeCell ref="S127:S128"/>
    <mergeCell ref="T127:T128"/>
    <mergeCell ref="S131:S132"/>
    <mergeCell ref="T131:T132"/>
    <mergeCell ref="S133:S134"/>
    <mergeCell ref="T133:T134"/>
    <mergeCell ref="S135:S136"/>
    <mergeCell ref="T135:T136"/>
    <mergeCell ref="S137:S138"/>
    <mergeCell ref="T137:T138"/>
    <mergeCell ref="S139:S140"/>
    <mergeCell ref="T139:T140"/>
    <mergeCell ref="S141:S142"/>
    <mergeCell ref="T141:T142"/>
    <mergeCell ref="Y131:Y132"/>
    <mergeCell ref="Z131:Z132"/>
    <mergeCell ref="W133:W134"/>
    <mergeCell ref="X133:X134"/>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AF146:AF147"/>
    <mergeCell ref="AE127:AE128"/>
    <mergeCell ref="AF127:AF128"/>
    <mergeCell ref="AC125:AC126"/>
    <mergeCell ref="AD125:AD126"/>
    <mergeCell ref="AE129:AE130"/>
    <mergeCell ref="AF129:AF130"/>
    <mergeCell ref="AC131:AC132"/>
    <mergeCell ref="AD131:AD132"/>
    <mergeCell ref="AE131:AE132"/>
    <mergeCell ref="AF131:AF132"/>
    <mergeCell ref="AC129:AC130"/>
    <mergeCell ref="AD129:AD130"/>
    <mergeCell ref="AE133:AE134"/>
    <mergeCell ref="AF133:AF134"/>
    <mergeCell ref="AC135:AC136"/>
    <mergeCell ref="AD135:AD136"/>
    <mergeCell ref="AE135:AE136"/>
    <mergeCell ref="AF135:AF136"/>
    <mergeCell ref="AC133:AC134"/>
    <mergeCell ref="AD133:AD134"/>
    <mergeCell ref="W148:W149"/>
    <mergeCell ref="X148:X149"/>
    <mergeCell ref="Y148:Y149"/>
    <mergeCell ref="Z148:Z149"/>
    <mergeCell ref="Y150:Y151"/>
    <mergeCell ref="Z150:Z151"/>
    <mergeCell ref="AC137:AC138"/>
    <mergeCell ref="AD137:AD138"/>
    <mergeCell ref="AE137:AE138"/>
    <mergeCell ref="AF137:AF138"/>
    <mergeCell ref="AC139:AC140"/>
    <mergeCell ref="AD139:AD140"/>
    <mergeCell ref="AE139:AE140"/>
    <mergeCell ref="AF139:AF140"/>
    <mergeCell ref="AE141:AE142"/>
    <mergeCell ref="AF141:AF142"/>
    <mergeCell ref="K146:K147"/>
    <mergeCell ref="L146:L147"/>
    <mergeCell ref="M146:M147"/>
    <mergeCell ref="N146:N147"/>
    <mergeCell ref="Q146:Q147"/>
    <mergeCell ref="R146:R147"/>
    <mergeCell ref="W141:W142"/>
    <mergeCell ref="X141:X142"/>
    <mergeCell ref="AC141:AC142"/>
    <mergeCell ref="AD141:AD142"/>
    <mergeCell ref="Y141:Y142"/>
    <mergeCell ref="Z141:Z142"/>
    <mergeCell ref="R141:R142"/>
    <mergeCell ref="AC146:AC147"/>
    <mergeCell ref="AD146:AD147"/>
    <mergeCell ref="AE146:AE147"/>
    <mergeCell ref="AC148:AC149"/>
    <mergeCell ref="AD148:AD149"/>
    <mergeCell ref="AE148:AE149"/>
    <mergeCell ref="AF148:AF149"/>
    <mergeCell ref="AC150:AC151"/>
    <mergeCell ref="AD150:AD151"/>
    <mergeCell ref="AE150:AE151"/>
    <mergeCell ref="AF150:AF151"/>
    <mergeCell ref="E146:E147"/>
    <mergeCell ref="F146:F147"/>
    <mergeCell ref="G146:G147"/>
    <mergeCell ref="H146:H147"/>
    <mergeCell ref="E148:E149"/>
    <mergeCell ref="F148:F149"/>
    <mergeCell ref="G148:G149"/>
    <mergeCell ref="H148:H149"/>
    <mergeCell ref="E150:E151"/>
    <mergeCell ref="F150:F151"/>
    <mergeCell ref="G150:G151"/>
    <mergeCell ref="H150:H151"/>
    <mergeCell ref="Q150:Q151"/>
    <mergeCell ref="R150:R151"/>
    <mergeCell ref="S150:S151"/>
    <mergeCell ref="T150:T151"/>
    <mergeCell ref="W146:W147"/>
    <mergeCell ref="X146:X147"/>
    <mergeCell ref="W150:W151"/>
    <mergeCell ref="X150:X151"/>
    <mergeCell ref="S146:S147"/>
    <mergeCell ref="T146:T147"/>
    <mergeCell ref="Y146:Y147"/>
    <mergeCell ref="Z146:Z147"/>
    <mergeCell ref="K153:K154"/>
    <mergeCell ref="L153:L154"/>
    <mergeCell ref="M153:M154"/>
    <mergeCell ref="N153:N154"/>
    <mergeCell ref="K155:K156"/>
    <mergeCell ref="L155:L156"/>
    <mergeCell ref="M155:M156"/>
    <mergeCell ref="N155:N156"/>
    <mergeCell ref="K157:K158"/>
    <mergeCell ref="L157:L158"/>
    <mergeCell ref="M157:M158"/>
    <mergeCell ref="N157:N158"/>
    <mergeCell ref="K159:K160"/>
    <mergeCell ref="L159:L160"/>
    <mergeCell ref="M159:M160"/>
    <mergeCell ref="N159:N160"/>
    <mergeCell ref="K161:K162"/>
    <mergeCell ref="L161:L162"/>
    <mergeCell ref="M161:M162"/>
    <mergeCell ref="N161:N162"/>
    <mergeCell ref="K179:K180"/>
    <mergeCell ref="L179:L180"/>
    <mergeCell ref="M179:M180"/>
    <mergeCell ref="N179:N180"/>
    <mergeCell ref="N181:N182"/>
    <mergeCell ref="K183:K184"/>
    <mergeCell ref="L183:L184"/>
    <mergeCell ref="M183:M184"/>
    <mergeCell ref="N183:N184"/>
    <mergeCell ref="K185:K186"/>
    <mergeCell ref="L185:L186"/>
    <mergeCell ref="M185:M186"/>
    <mergeCell ref="N185:N186"/>
    <mergeCell ref="K187:K188"/>
    <mergeCell ref="L187:L188"/>
    <mergeCell ref="M187:M188"/>
    <mergeCell ref="N187:N188"/>
    <mergeCell ref="Q153:Q154"/>
    <mergeCell ref="R153:R154"/>
    <mergeCell ref="Q157:Q158"/>
    <mergeCell ref="R157:R158"/>
    <mergeCell ref="Q161:Q162"/>
    <mergeCell ref="R161:R162"/>
    <mergeCell ref="S153:S154"/>
    <mergeCell ref="T153:T154"/>
    <mergeCell ref="Q155:Q156"/>
    <mergeCell ref="R155:R156"/>
    <mergeCell ref="S155:S156"/>
    <mergeCell ref="T155:T156"/>
    <mergeCell ref="S157:S158"/>
    <mergeCell ref="T157:T158"/>
    <mergeCell ref="Q159:Q160"/>
    <mergeCell ref="R159:R160"/>
    <mergeCell ref="S159:S160"/>
    <mergeCell ref="T159:T160"/>
    <mergeCell ref="S161:S162"/>
    <mergeCell ref="T161:T162"/>
    <mergeCell ref="S167:S168"/>
    <mergeCell ref="T167:T168"/>
    <mergeCell ref="Q169:Q170"/>
    <mergeCell ref="R169:R170"/>
    <mergeCell ref="S169:S170"/>
    <mergeCell ref="T169:T170"/>
    <mergeCell ref="Q171:Q172"/>
    <mergeCell ref="R171:R172"/>
    <mergeCell ref="S171:S172"/>
    <mergeCell ref="T171:T172"/>
    <mergeCell ref="Q173:Q174"/>
    <mergeCell ref="R173:R174"/>
    <mergeCell ref="S173:S174"/>
    <mergeCell ref="T173:T174"/>
    <mergeCell ref="Q175:Q176"/>
    <mergeCell ref="R175:R176"/>
    <mergeCell ref="S175:S176"/>
    <mergeCell ref="T175:T176"/>
    <mergeCell ref="Q177:Q178"/>
    <mergeCell ref="R177:R178"/>
    <mergeCell ref="S177:S178"/>
    <mergeCell ref="T177:T178"/>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90:K191"/>
    <mergeCell ref="L190:L191"/>
    <mergeCell ref="M190:M191"/>
    <mergeCell ref="N190:N191"/>
    <mergeCell ref="K192:K193"/>
    <mergeCell ref="L192:L193"/>
    <mergeCell ref="M192:M193"/>
    <mergeCell ref="N192:N193"/>
    <mergeCell ref="Q190:Q191"/>
    <mergeCell ref="Q192:Q193"/>
    <mergeCell ref="J185:J186"/>
    <mergeCell ref="P185:P186"/>
    <mergeCell ref="Z190:Z191"/>
    <mergeCell ref="Z192:Z193"/>
    <mergeCell ref="AC190:AC191"/>
    <mergeCell ref="AD190:AD191"/>
    <mergeCell ref="AE190:AE191"/>
    <mergeCell ref="AF190:AF191"/>
    <mergeCell ref="AC192:AC193"/>
    <mergeCell ref="AD192:AD193"/>
    <mergeCell ref="AE192:AE193"/>
    <mergeCell ref="AF192:AF193"/>
    <mergeCell ref="E190:E191"/>
    <mergeCell ref="F190:F191"/>
    <mergeCell ref="G190:G191"/>
    <mergeCell ref="H190:H191"/>
    <mergeCell ref="E192:E193"/>
    <mergeCell ref="F192:F193"/>
    <mergeCell ref="G192:G193"/>
    <mergeCell ref="H192:H193"/>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G204:G205"/>
    <mergeCell ref="H204:H205"/>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L204:L205"/>
    <mergeCell ref="M204:M205"/>
    <mergeCell ref="N204:N205"/>
    <mergeCell ref="L206:L207"/>
    <mergeCell ref="M206:M207"/>
    <mergeCell ref="N206:N207"/>
    <mergeCell ref="N208:N209"/>
    <mergeCell ref="K210:K211"/>
    <mergeCell ref="L210:L211"/>
    <mergeCell ref="M210:M211"/>
    <mergeCell ref="N210:N211"/>
    <mergeCell ref="Q196:Q197"/>
    <mergeCell ref="Q200:Q201"/>
    <mergeCell ref="Q204:Q205"/>
    <mergeCell ref="Q208:Q209"/>
    <mergeCell ref="K204:K205"/>
    <mergeCell ref="R196:R197"/>
    <mergeCell ref="S196:S197"/>
    <mergeCell ref="T196:T197"/>
    <mergeCell ref="Q198:Q199"/>
    <mergeCell ref="R198:R199"/>
    <mergeCell ref="S198:S199"/>
    <mergeCell ref="T198:T199"/>
    <mergeCell ref="R200:R201"/>
    <mergeCell ref="S200:S201"/>
    <mergeCell ref="T200:T201"/>
    <mergeCell ref="Q202:Q203"/>
    <mergeCell ref="R202:R203"/>
    <mergeCell ref="S202:S203"/>
    <mergeCell ref="T202:T203"/>
    <mergeCell ref="R204:R205"/>
    <mergeCell ref="S204:S205"/>
    <mergeCell ref="T204:T205"/>
    <mergeCell ref="Q206:Q207"/>
    <mergeCell ref="R206:R207"/>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Q213:Q214"/>
    <mergeCell ref="R213:R214"/>
    <mergeCell ref="S213:S214"/>
    <mergeCell ref="T213:T214"/>
    <mergeCell ref="Q215:Q216"/>
    <mergeCell ref="R215:R216"/>
    <mergeCell ref="S215:S216"/>
    <mergeCell ref="T215:T216"/>
    <mergeCell ref="AB213:AB214"/>
    <mergeCell ref="AC213:AC214"/>
    <mergeCell ref="AD213:AD214"/>
    <mergeCell ref="AE213:AE214"/>
    <mergeCell ref="W213:W214"/>
    <mergeCell ref="X213:X214"/>
    <mergeCell ref="Y213:Y214"/>
    <mergeCell ref="Z206:Z207"/>
    <mergeCell ref="W208:W209"/>
    <mergeCell ref="X208:X209"/>
    <mergeCell ref="Y208:Y209"/>
    <mergeCell ref="Z208:Z209"/>
    <mergeCell ref="W210:W211"/>
    <mergeCell ref="X210:X211"/>
    <mergeCell ref="Y210:Y211"/>
    <mergeCell ref="Z210:Z211"/>
    <mergeCell ref="AC206:AC207"/>
    <mergeCell ref="AD206:AD207"/>
    <mergeCell ref="AE206:AE207"/>
    <mergeCell ref="S206:S207"/>
    <mergeCell ref="T206:T207"/>
    <mergeCell ref="R208:R209"/>
    <mergeCell ref="S208:S209"/>
    <mergeCell ref="T208:T209"/>
    <mergeCell ref="E213:E214"/>
    <mergeCell ref="F213:F214"/>
    <mergeCell ref="G213:G214"/>
    <mergeCell ref="H213:H214"/>
    <mergeCell ref="E215:E216"/>
    <mergeCell ref="F215:F216"/>
    <mergeCell ref="G215:G216"/>
    <mergeCell ref="H215:H216"/>
    <mergeCell ref="E217:E218"/>
    <mergeCell ref="F217:F218"/>
    <mergeCell ref="G217:G218"/>
    <mergeCell ref="H217:H218"/>
    <mergeCell ref="K217:K218"/>
    <mergeCell ref="L217:L218"/>
    <mergeCell ref="J217:J218"/>
    <mergeCell ref="AF206:AF207"/>
    <mergeCell ref="AC208:AC209"/>
    <mergeCell ref="AD208:AD209"/>
    <mergeCell ref="AE208:AE209"/>
    <mergeCell ref="AF208:AF209"/>
    <mergeCell ref="AC210:AC211"/>
    <mergeCell ref="AD210:AD211"/>
    <mergeCell ref="AE210:AE211"/>
    <mergeCell ref="AF210:AF211"/>
    <mergeCell ref="K213:K214"/>
    <mergeCell ref="L213:L214"/>
    <mergeCell ref="M213:M214"/>
    <mergeCell ref="N213:N214"/>
    <mergeCell ref="K215:K216"/>
    <mergeCell ref="L215:L216"/>
    <mergeCell ref="M215:M216"/>
    <mergeCell ref="N215:N216"/>
    <mergeCell ref="K245:K246"/>
    <mergeCell ref="L245:L246"/>
    <mergeCell ref="M245:M246"/>
    <mergeCell ref="N245:N246"/>
    <mergeCell ref="K247:K248"/>
    <mergeCell ref="L247:L248"/>
    <mergeCell ref="M247:M248"/>
    <mergeCell ref="N247:N248"/>
    <mergeCell ref="N249:N250"/>
    <mergeCell ref="K251:K252"/>
    <mergeCell ref="L251:L252"/>
    <mergeCell ref="M251:M252"/>
    <mergeCell ref="N251:N252"/>
    <mergeCell ref="W215:W216"/>
    <mergeCell ref="X215:X216"/>
    <mergeCell ref="Y215:Y216"/>
    <mergeCell ref="Z215:Z216"/>
    <mergeCell ref="W217:W218"/>
    <mergeCell ref="X217:X218"/>
    <mergeCell ref="Y217:Y218"/>
    <mergeCell ref="Z217:Z218"/>
    <mergeCell ref="Q237:Q238"/>
    <mergeCell ref="R237:R238"/>
    <mergeCell ref="S237:S238"/>
    <mergeCell ref="T237:T238"/>
    <mergeCell ref="Q239:Q240"/>
    <mergeCell ref="R239:R240"/>
    <mergeCell ref="S239:S240"/>
    <mergeCell ref="T239:T240"/>
    <mergeCell ref="Q241:Q242"/>
    <mergeCell ref="R241:R242"/>
    <mergeCell ref="S241:S242"/>
    <mergeCell ref="T241:T242"/>
    <mergeCell ref="Q243:Q244"/>
    <mergeCell ref="R243:R244"/>
    <mergeCell ref="S243:S244"/>
    <mergeCell ref="T243:T244"/>
    <mergeCell ref="Q245:Q246"/>
    <mergeCell ref="R245:R246"/>
    <mergeCell ref="S245:S246"/>
    <mergeCell ref="T245:T246"/>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K253:K254"/>
    <mergeCell ref="L253:L254"/>
    <mergeCell ref="M253:M254"/>
    <mergeCell ref="N253:N254"/>
    <mergeCell ref="Q247:Q248"/>
    <mergeCell ref="R247:R248"/>
    <mergeCell ref="S247:S248"/>
    <mergeCell ref="T247:T248"/>
    <mergeCell ref="Q249:Q250"/>
    <mergeCell ref="R249:R250"/>
    <mergeCell ref="S249:S250"/>
    <mergeCell ref="T249:T250"/>
    <mergeCell ref="M241:M242"/>
    <mergeCell ref="N241:N242"/>
    <mergeCell ref="K243:K244"/>
    <mergeCell ref="L243:L244"/>
    <mergeCell ref="M243:M244"/>
    <mergeCell ref="N243:N244"/>
    <mergeCell ref="Y251:Y252"/>
    <mergeCell ref="Z251:Z252"/>
    <mergeCell ref="W253:W254"/>
    <mergeCell ref="X253:X254"/>
    <mergeCell ref="Y253:Y254"/>
    <mergeCell ref="Z253:Z254"/>
    <mergeCell ref="AC237:AC238"/>
    <mergeCell ref="AD237:AD238"/>
    <mergeCell ref="AC241:AC242"/>
    <mergeCell ref="AD241:AD242"/>
    <mergeCell ref="AC245:AC246"/>
    <mergeCell ref="AD245:AD246"/>
    <mergeCell ref="AC249:AC250"/>
    <mergeCell ref="AD249:AD250"/>
    <mergeCell ref="Q251:Q252"/>
    <mergeCell ref="R251:R252"/>
    <mergeCell ref="S251:S252"/>
    <mergeCell ref="T251:T252"/>
    <mergeCell ref="Q253:Q254"/>
    <mergeCell ref="R253:R254"/>
    <mergeCell ref="S253:S254"/>
    <mergeCell ref="T253:T254"/>
    <mergeCell ref="W237:W238"/>
    <mergeCell ref="X237:X238"/>
    <mergeCell ref="W241:W242"/>
    <mergeCell ref="X241:X242"/>
    <mergeCell ref="W245:W246"/>
    <mergeCell ref="X245:X246"/>
    <mergeCell ref="Y237:Y238"/>
    <mergeCell ref="Z237:Z238"/>
    <mergeCell ref="W239:W240"/>
    <mergeCell ref="X239:X240"/>
    <mergeCell ref="AE237:AE238"/>
    <mergeCell ref="AF237:AF238"/>
    <mergeCell ref="AC239:AC240"/>
    <mergeCell ref="AD239:AD240"/>
    <mergeCell ref="AE239:AE240"/>
    <mergeCell ref="AF239:AF240"/>
    <mergeCell ref="AE241:AE242"/>
    <mergeCell ref="AF241:AF242"/>
    <mergeCell ref="AC243:AC244"/>
    <mergeCell ref="AD243:AD244"/>
    <mergeCell ref="AE243:AE244"/>
    <mergeCell ref="AF243:AF244"/>
    <mergeCell ref="AE245:AE246"/>
    <mergeCell ref="AF245:AF246"/>
    <mergeCell ref="AC247:AC248"/>
    <mergeCell ref="AD247:AD248"/>
    <mergeCell ref="AE247:AE248"/>
    <mergeCell ref="AF247:AF248"/>
    <mergeCell ref="E237:E238"/>
    <mergeCell ref="F237:F238"/>
    <mergeCell ref="G237:G238"/>
    <mergeCell ref="H237:H238"/>
    <mergeCell ref="E239:E240"/>
    <mergeCell ref="F239:F240"/>
    <mergeCell ref="G239:G240"/>
    <mergeCell ref="H239:H240"/>
    <mergeCell ref="E241:E242"/>
    <mergeCell ref="F241:F242"/>
    <mergeCell ref="G241:G242"/>
    <mergeCell ref="H241:H242"/>
    <mergeCell ref="E243:E244"/>
    <mergeCell ref="F243:F244"/>
    <mergeCell ref="G243:G244"/>
    <mergeCell ref="H243:H244"/>
    <mergeCell ref="E245:E246"/>
    <mergeCell ref="F245:F246"/>
    <mergeCell ref="G245:G246"/>
    <mergeCell ref="H245:H246"/>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AE249:AE250"/>
    <mergeCell ref="AF249:AF250"/>
    <mergeCell ref="AC251:AC252"/>
    <mergeCell ref="AD251:AD252"/>
    <mergeCell ref="AE251:AE252"/>
    <mergeCell ref="AF251:AF252"/>
    <mergeCell ref="AC253:AC254"/>
    <mergeCell ref="AD253:AD254"/>
    <mergeCell ref="AE253:AE254"/>
    <mergeCell ref="AF253:AF254"/>
    <mergeCell ref="E247:E248"/>
    <mergeCell ref="F247:F248"/>
    <mergeCell ref="W249:W250"/>
    <mergeCell ref="X249:X250"/>
    <mergeCell ref="Y249:Y250"/>
    <mergeCell ref="Z249:Z250"/>
    <mergeCell ref="W251:W252"/>
    <mergeCell ref="X251:X252"/>
  </mergeCells>
  <pageMargins left="0.35" right="0.32" top="0.33" bottom="0.27" header="0.2" footer="0.22"/>
  <pageSetup paperSize="9" scale="8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B750-38F4-496F-BDCD-9457DA61573A}">
  <sheetPr>
    <pageSetUpPr fitToPage="1"/>
  </sheetPr>
  <dimension ref="A1:AH256"/>
  <sheetViews>
    <sheetView zoomScaleNormal="100" workbookViewId="0">
      <pane xSplit="3" ySplit="12" topLeftCell="E13" activePane="bottomRight" state="frozen"/>
      <selection pane="topRight" activeCell="K1" sqref="K1"/>
      <selection pane="bottomLeft" activeCell="A13" sqref="A13"/>
      <selection pane="bottomRight" activeCell="E237" sqref="E237:H254"/>
    </sheetView>
  </sheetViews>
  <sheetFormatPr defaultColWidth="9.109375" defaultRowHeight="10.199999999999999" x14ac:dyDescent="0.2"/>
  <cols>
    <col min="1" max="1" width="6" style="11" customWidth="1"/>
    <col min="2" max="2" width="36.77734375" style="11" customWidth="1"/>
    <col min="3" max="3" width="8.77734375" style="11" customWidth="1"/>
    <col min="4" max="4" width="9.88671875"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269"/>
      <c r="E2" s="269"/>
      <c r="F2" s="269"/>
      <c r="G2" s="269"/>
      <c r="H2" s="269"/>
      <c r="I2" s="269"/>
      <c r="J2" s="269"/>
      <c r="K2" s="269"/>
      <c r="L2" s="269"/>
      <c r="M2" s="269"/>
    </row>
    <row r="3" spans="1:34" x14ac:dyDescent="0.2">
      <c r="A3" s="297" t="s">
        <v>50</v>
      </c>
      <c r="B3" s="297"/>
      <c r="C3" s="297"/>
      <c r="D3" s="269"/>
      <c r="E3" s="269"/>
      <c r="F3" s="269"/>
      <c r="G3" s="269"/>
      <c r="H3" s="269"/>
      <c r="I3" s="269"/>
      <c r="J3" s="269"/>
      <c r="K3" s="269"/>
    </row>
    <row r="4" spans="1:34" x14ac:dyDescent="0.2">
      <c r="A4" s="297" t="s">
        <v>59</v>
      </c>
      <c r="B4" s="297"/>
      <c r="C4" s="297"/>
      <c r="D4" s="12"/>
    </row>
    <row r="5" spans="1:34" x14ac:dyDescent="0.2">
      <c r="A5" s="271" t="s">
        <v>148</v>
      </c>
      <c r="B5" s="269"/>
      <c r="C5" s="14"/>
      <c r="D5" s="14"/>
      <c r="Q5" s="11" t="s">
        <v>74</v>
      </c>
      <c r="R5" s="15"/>
      <c r="W5" s="11" t="s">
        <v>74</v>
      </c>
      <c r="Y5" s="278"/>
      <c r="AC5" s="11" t="s">
        <v>74</v>
      </c>
    </row>
    <row r="6" spans="1:34" x14ac:dyDescent="0.2">
      <c r="A6" s="271" t="s">
        <v>154</v>
      </c>
      <c r="B6" s="269"/>
      <c r="C6" s="9"/>
      <c r="D6" s="9"/>
      <c r="I6" s="16"/>
      <c r="J6" s="16"/>
      <c r="O6" s="16"/>
      <c r="U6" s="16"/>
      <c r="V6" s="16"/>
      <c r="Y6" s="278"/>
      <c r="AA6" s="16"/>
      <c r="AB6" s="16"/>
      <c r="AG6" s="16"/>
      <c r="AH6" s="16"/>
    </row>
    <row r="7" spans="1:34" x14ac:dyDescent="0.2">
      <c r="A7" s="268"/>
      <c r="B7" s="268"/>
      <c r="C7" s="268"/>
    </row>
    <row r="8" spans="1:34" x14ac:dyDescent="0.2">
      <c r="A8" s="268" t="s">
        <v>162</v>
      </c>
      <c r="B8" s="268"/>
      <c r="C8" s="268"/>
      <c r="D8" s="269"/>
      <c r="E8" s="269"/>
      <c r="F8" s="269"/>
      <c r="G8" s="269"/>
      <c r="H8" s="269"/>
      <c r="I8" s="269"/>
      <c r="J8" s="269"/>
      <c r="K8" s="326"/>
      <c r="L8" s="326"/>
      <c r="M8" s="326"/>
      <c r="N8" s="326"/>
      <c r="O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91"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91"/>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91"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91"/>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91"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91"/>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91"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91"/>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91"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91"/>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91"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91"/>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73"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73"/>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73"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73"/>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73"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73"/>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204"/>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5.0000000000000001E-3</v>
      </c>
      <c r="F63" s="254">
        <v>5.0000000000000001E-3</v>
      </c>
      <c r="G63" s="254">
        <v>5.0000000000000001E-3</v>
      </c>
      <c r="H63" s="254">
        <v>5.0000000000000001E-3</v>
      </c>
      <c r="I63" s="19"/>
      <c r="J63" s="254">
        <v>5.0000000000000001E-3</v>
      </c>
      <c r="K63" s="254">
        <v>5.0000000000000001E-3</v>
      </c>
      <c r="L63" s="254">
        <v>5.0000000000000001E-3</v>
      </c>
      <c r="M63" s="254">
        <v>5.0000000000000001E-3</v>
      </c>
      <c r="N63" s="254">
        <v>5.0000000000000001E-3</v>
      </c>
      <c r="O63" s="19"/>
      <c r="P63" s="254">
        <v>5.0000000000000001E-3</v>
      </c>
      <c r="Q63" s="254">
        <v>5.0000000000000001E-3</v>
      </c>
      <c r="R63" s="254">
        <v>5.0000000000000001E-3</v>
      </c>
      <c r="S63" s="254">
        <v>5.0000000000000001E-3</v>
      </c>
      <c r="T63" s="254">
        <v>5.0000000000000001E-3</v>
      </c>
      <c r="U63" s="19"/>
      <c r="V63" s="254">
        <v>5.0000000000000001E-3</v>
      </c>
      <c r="W63" s="254">
        <v>5.0000000000000001E-3</v>
      </c>
      <c r="X63" s="254">
        <v>5.0000000000000001E-3</v>
      </c>
      <c r="Y63" s="254">
        <v>5.0000000000000001E-3</v>
      </c>
      <c r="Z63" s="254">
        <v>5.0000000000000001E-3</v>
      </c>
      <c r="AA63" s="19"/>
      <c r="AB63" s="254">
        <v>5.0000000000000001E-3</v>
      </c>
      <c r="AC63" s="254">
        <v>5.0000000000000001E-3</v>
      </c>
      <c r="AD63" s="254">
        <v>5.0000000000000001E-3</v>
      </c>
      <c r="AE63" s="254">
        <v>5.0000000000000001E-3</v>
      </c>
      <c r="AF63" s="254">
        <v>5.0000000000000001E-3</v>
      </c>
      <c r="AG63" s="19"/>
      <c r="AH63" s="254">
        <v>5.0000000000000001E-3</v>
      </c>
    </row>
    <row r="64" spans="1:34" ht="20.25" customHeight="1" x14ac:dyDescent="0.2">
      <c r="A64" s="289"/>
      <c r="B64" s="294"/>
      <c r="C64" s="294"/>
      <c r="D64" s="251"/>
      <c r="E64" s="251"/>
      <c r="F64" s="251"/>
      <c r="G64" s="251"/>
      <c r="H64" s="251"/>
      <c r="I64" s="19"/>
      <c r="J64" s="251"/>
      <c r="K64" s="251"/>
      <c r="L64" s="251"/>
      <c r="M64" s="251"/>
      <c r="N64" s="251"/>
      <c r="O64" s="19"/>
      <c r="P64" s="251"/>
      <c r="Q64" s="251"/>
      <c r="R64" s="251"/>
      <c r="S64" s="251"/>
      <c r="T64" s="251"/>
      <c r="U64" s="19"/>
      <c r="V64" s="251"/>
      <c r="W64" s="251"/>
      <c r="X64" s="251"/>
      <c r="Y64" s="251"/>
      <c r="Z64" s="251"/>
      <c r="AA64" s="19"/>
      <c r="AB64" s="251"/>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c r="AG73" s="306"/>
      <c r="AH73" s="306"/>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4" t="s">
        <v>135</v>
      </c>
      <c r="E82" s="35">
        <v>1</v>
      </c>
      <c r="F82" s="35">
        <v>1</v>
      </c>
      <c r="G82" s="35">
        <v>1</v>
      </c>
      <c r="H82" s="35">
        <v>3</v>
      </c>
      <c r="I82" s="35"/>
      <c r="J82" s="35">
        <v>6</v>
      </c>
      <c r="K82" s="35">
        <v>1</v>
      </c>
      <c r="L82" s="35">
        <v>1</v>
      </c>
      <c r="M82" s="35">
        <v>1</v>
      </c>
      <c r="N82" s="35">
        <v>3</v>
      </c>
      <c r="O82" s="36"/>
      <c r="P82" s="35">
        <v>6</v>
      </c>
      <c r="Q82" s="35">
        <v>1</v>
      </c>
      <c r="R82" s="35">
        <v>1</v>
      </c>
      <c r="S82" s="35">
        <v>1</v>
      </c>
      <c r="T82" s="35">
        <v>3</v>
      </c>
      <c r="U82" s="35"/>
      <c r="V82" s="35">
        <v>6</v>
      </c>
      <c r="W82" s="35">
        <v>1</v>
      </c>
      <c r="X82" s="35">
        <v>1</v>
      </c>
      <c r="Y82" s="35">
        <v>1</v>
      </c>
      <c r="Z82" s="35">
        <v>3</v>
      </c>
      <c r="AA82" s="36"/>
      <c r="AB82" s="35">
        <v>6</v>
      </c>
      <c r="AC82" s="35">
        <v>1</v>
      </c>
      <c r="AD82" s="35">
        <v>1</v>
      </c>
      <c r="AE82" s="35">
        <v>1</v>
      </c>
      <c r="AF82" s="35">
        <v>3</v>
      </c>
      <c r="AG82" s="35"/>
      <c r="AH82" s="35">
        <v>6</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0.47</v>
      </c>
      <c r="AD83" s="252">
        <v>0.47</v>
      </c>
      <c r="AE83" s="252">
        <v>0.47</v>
      </c>
      <c r="AF83" s="252">
        <v>0.47</v>
      </c>
      <c r="AG83" s="26"/>
      <c r="AH83" s="252">
        <v>0.45</v>
      </c>
    </row>
    <row r="84" spans="1:34"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0.22</v>
      </c>
      <c r="AD85" s="252">
        <v>0.22</v>
      </c>
      <c r="AE85" s="252">
        <v>0.22</v>
      </c>
      <c r="AF85" s="252">
        <v>0.22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0.27</v>
      </c>
      <c r="AD87" s="252">
        <v>0.27</v>
      </c>
      <c r="AE87" s="252">
        <v>0.27</v>
      </c>
      <c r="AF87" s="252">
        <v>0.27</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0.22</v>
      </c>
      <c r="AD89" s="252">
        <v>0.22</v>
      </c>
      <c r="AE89" s="252">
        <v>0.22</v>
      </c>
      <c r="AF89" s="252">
        <v>0.22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0.22</v>
      </c>
      <c r="AD91" s="252">
        <v>0.22</v>
      </c>
      <c r="AE91" s="252">
        <v>0.22</v>
      </c>
      <c r="AF91" s="252">
        <v>0.22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0.22</v>
      </c>
      <c r="AD93" s="252">
        <v>0.22</v>
      </c>
      <c r="AE93" s="252">
        <v>0.22</v>
      </c>
      <c r="AF93" s="252">
        <v>0.22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36">
        <v>5</v>
      </c>
      <c r="F95" s="36">
        <v>5</v>
      </c>
      <c r="G95" s="36">
        <v>5</v>
      </c>
      <c r="H95" s="36">
        <v>5</v>
      </c>
      <c r="I95" s="35"/>
      <c r="J95" s="35">
        <v>20</v>
      </c>
      <c r="K95" s="36">
        <v>5</v>
      </c>
      <c r="L95" s="36">
        <v>5</v>
      </c>
      <c r="M95" s="36">
        <v>5</v>
      </c>
      <c r="N95" s="36">
        <v>5</v>
      </c>
      <c r="O95" s="35"/>
      <c r="P95" s="35">
        <v>20</v>
      </c>
      <c r="Q95" s="36">
        <v>5</v>
      </c>
      <c r="R95" s="36">
        <v>5</v>
      </c>
      <c r="S95" s="36">
        <v>5</v>
      </c>
      <c r="T95" s="36">
        <v>5</v>
      </c>
      <c r="U95" s="35"/>
      <c r="V95" s="35">
        <v>20</v>
      </c>
      <c r="W95" s="36">
        <v>5</v>
      </c>
      <c r="X95" s="36">
        <v>5</v>
      </c>
      <c r="Y95" s="36">
        <v>5</v>
      </c>
      <c r="Z95" s="36">
        <v>5</v>
      </c>
      <c r="AA95" s="36"/>
      <c r="AB95" s="35">
        <v>20</v>
      </c>
      <c r="AC95" s="36">
        <v>5</v>
      </c>
      <c r="AD95" s="36">
        <v>5</v>
      </c>
      <c r="AE95" s="36">
        <v>5</v>
      </c>
      <c r="AF95" s="36">
        <v>5</v>
      </c>
      <c r="AG95" s="35"/>
      <c r="AH95" s="35">
        <v>20</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511"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511"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4" t="s">
        <v>135</v>
      </c>
      <c r="E109" s="23">
        <v>10</v>
      </c>
      <c r="F109" s="23">
        <v>10</v>
      </c>
      <c r="G109" s="23">
        <v>10</v>
      </c>
      <c r="H109" s="23">
        <v>10</v>
      </c>
      <c r="I109" s="26"/>
      <c r="J109" s="41">
        <v>40</v>
      </c>
      <c r="K109" s="23">
        <v>10</v>
      </c>
      <c r="L109" s="23">
        <v>10</v>
      </c>
      <c r="M109" s="23">
        <v>10</v>
      </c>
      <c r="N109" s="23">
        <v>10</v>
      </c>
      <c r="O109" s="26"/>
      <c r="P109" s="41">
        <v>40</v>
      </c>
      <c r="Q109" s="23">
        <v>10</v>
      </c>
      <c r="R109" s="23">
        <v>10</v>
      </c>
      <c r="S109" s="23">
        <v>10</v>
      </c>
      <c r="T109" s="23">
        <v>10</v>
      </c>
      <c r="U109" s="26"/>
      <c r="V109" s="41">
        <v>40</v>
      </c>
      <c r="W109" s="23">
        <v>10</v>
      </c>
      <c r="X109" s="23">
        <v>10</v>
      </c>
      <c r="Y109" s="23">
        <v>10</v>
      </c>
      <c r="Z109" s="23">
        <v>10</v>
      </c>
      <c r="AA109" s="26"/>
      <c r="AB109" s="41">
        <v>40</v>
      </c>
      <c r="AC109" s="23">
        <v>10</v>
      </c>
      <c r="AD109" s="23">
        <v>10</v>
      </c>
      <c r="AE109" s="23">
        <v>10</v>
      </c>
      <c r="AF109" s="23">
        <v>10</v>
      </c>
      <c r="AG109" s="26"/>
      <c r="AH109" s="41">
        <v>40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64" t="s">
        <v>25</v>
      </c>
      <c r="C124" s="264"/>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c r="AG124" s="306"/>
      <c r="AH124" s="306"/>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26"/>
      <c r="J125" s="255">
        <v>5.0000000000000001E-3</v>
      </c>
      <c r="K125" s="255">
        <v>5.0000000000000001E-3</v>
      </c>
      <c r="L125" s="255">
        <v>5.0000000000000001E-3</v>
      </c>
      <c r="M125" s="255">
        <v>5.0000000000000001E-3</v>
      </c>
      <c r="N125" s="255">
        <v>5.0000000000000001E-3</v>
      </c>
      <c r="O125" s="26"/>
      <c r="P125" s="255">
        <v>5.0000000000000001E-3</v>
      </c>
      <c r="Q125" s="255">
        <v>5.0000000000000001E-3</v>
      </c>
      <c r="R125" s="255">
        <v>5.0000000000000001E-3</v>
      </c>
      <c r="S125" s="255">
        <v>5.0000000000000001E-3</v>
      </c>
      <c r="T125" s="255">
        <v>5.0000000000000001E-3</v>
      </c>
      <c r="U125" s="26"/>
      <c r="V125" s="255">
        <v>5.0000000000000001E-3</v>
      </c>
      <c r="W125" s="255">
        <v>5.0000000000000001E-3</v>
      </c>
      <c r="X125" s="255">
        <v>5.0000000000000001E-3</v>
      </c>
      <c r="Y125" s="255">
        <v>5.0000000000000001E-3</v>
      </c>
      <c r="Z125" s="255">
        <v>5.0000000000000001E-3</v>
      </c>
      <c r="AA125" s="26"/>
      <c r="AB125" s="255">
        <v>5.0000000000000001E-3</v>
      </c>
      <c r="AC125" s="255">
        <v>5.0000000000000001E-3</v>
      </c>
      <c r="AD125" s="255">
        <v>5.0000000000000001E-3</v>
      </c>
      <c r="AE125" s="255">
        <v>5.0000000000000001E-3</v>
      </c>
      <c r="AF125" s="255">
        <v>5.0000000000000001E-3</v>
      </c>
      <c r="AG125" s="26"/>
      <c r="AH125" s="255">
        <v>5.0000000000000001E-3</v>
      </c>
    </row>
    <row r="126" spans="1:34" ht="15.75" customHeight="1" x14ac:dyDescent="0.2">
      <c r="A126" s="289"/>
      <c r="B126" s="284"/>
      <c r="C126" s="273"/>
      <c r="D126" s="251"/>
      <c r="E126" s="256"/>
      <c r="F126" s="256"/>
      <c r="G126" s="256"/>
      <c r="H126" s="256"/>
      <c r="I126" s="26"/>
      <c r="J126" s="256"/>
      <c r="K126" s="256"/>
      <c r="L126" s="256"/>
      <c r="M126" s="256"/>
      <c r="N126" s="256"/>
      <c r="O126" s="26"/>
      <c r="P126" s="256"/>
      <c r="Q126" s="256"/>
      <c r="R126" s="256"/>
      <c r="S126" s="256"/>
      <c r="T126" s="256"/>
      <c r="U126" s="26"/>
      <c r="V126" s="256"/>
      <c r="W126" s="256"/>
      <c r="X126" s="256"/>
      <c r="Y126" s="256"/>
      <c r="Z126" s="256"/>
      <c r="AA126" s="26"/>
      <c r="AB126" s="256"/>
      <c r="AC126" s="256"/>
      <c r="AD126" s="256"/>
      <c r="AE126" s="256"/>
      <c r="AF126" s="256"/>
      <c r="AG126" s="26"/>
      <c r="AH126" s="256"/>
    </row>
    <row r="127" spans="1:34" ht="15.75" customHeight="1" x14ac:dyDescent="0.2">
      <c r="A127" s="289"/>
      <c r="B127" s="284"/>
      <c r="C127" s="273" t="s">
        <v>7</v>
      </c>
      <c r="D127" s="272" t="s">
        <v>78</v>
      </c>
      <c r="E127" s="254">
        <v>0.02</v>
      </c>
      <c r="F127" s="254">
        <v>0.02</v>
      </c>
      <c r="G127" s="254">
        <v>0.02</v>
      </c>
      <c r="H127" s="254">
        <v>0.02</v>
      </c>
      <c r="I127" s="26"/>
      <c r="J127" s="254">
        <v>0.02</v>
      </c>
      <c r="K127" s="254">
        <v>0.02</v>
      </c>
      <c r="L127" s="254">
        <v>0.02</v>
      </c>
      <c r="M127" s="254">
        <v>0.02</v>
      </c>
      <c r="N127" s="254">
        <v>0.02</v>
      </c>
      <c r="O127" s="26"/>
      <c r="P127" s="254">
        <v>0.02</v>
      </c>
      <c r="Q127" s="254">
        <v>0.02</v>
      </c>
      <c r="R127" s="254">
        <v>0.02</v>
      </c>
      <c r="S127" s="254">
        <v>0.02</v>
      </c>
      <c r="T127" s="254">
        <v>0.02</v>
      </c>
      <c r="U127" s="26"/>
      <c r="V127" s="254">
        <v>0.02</v>
      </c>
      <c r="W127" s="254">
        <v>0.02</v>
      </c>
      <c r="X127" s="254">
        <v>0.02</v>
      </c>
      <c r="Y127" s="254">
        <v>0.02</v>
      </c>
      <c r="Z127" s="254">
        <v>0.02</v>
      </c>
      <c r="AA127" s="26"/>
      <c r="AB127" s="254">
        <v>0.02</v>
      </c>
      <c r="AC127" s="254">
        <v>0.02</v>
      </c>
      <c r="AD127" s="254">
        <v>0.02</v>
      </c>
      <c r="AE127" s="254">
        <v>0.02</v>
      </c>
      <c r="AF127" s="254">
        <v>0.02</v>
      </c>
      <c r="AG127" s="26"/>
      <c r="AH127" s="254">
        <v>0.02</v>
      </c>
    </row>
    <row r="128" spans="1:34" ht="15.75" customHeight="1" x14ac:dyDescent="0.2">
      <c r="A128" s="289"/>
      <c r="B128" s="284"/>
      <c r="C128" s="273"/>
      <c r="D128" s="251"/>
      <c r="E128" s="254"/>
      <c r="F128" s="254"/>
      <c r="G128" s="254"/>
      <c r="H128" s="254"/>
      <c r="I128" s="26"/>
      <c r="J128" s="254"/>
      <c r="K128" s="254"/>
      <c r="L128" s="254"/>
      <c r="M128" s="254"/>
      <c r="N128" s="254"/>
      <c r="O128" s="26"/>
      <c r="P128" s="254"/>
      <c r="Q128" s="254"/>
      <c r="R128" s="254"/>
      <c r="S128" s="254"/>
      <c r="T128" s="254"/>
      <c r="U128" s="26"/>
      <c r="V128" s="254"/>
      <c r="W128" s="254"/>
      <c r="X128" s="254"/>
      <c r="Y128" s="254"/>
      <c r="Z128" s="254"/>
      <c r="AA128" s="26"/>
      <c r="AB128" s="254"/>
      <c r="AC128" s="254"/>
      <c r="AD128" s="254"/>
      <c r="AE128" s="254"/>
      <c r="AF128" s="254"/>
      <c r="AG128" s="26"/>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26"/>
      <c r="J129" s="254">
        <v>1.4999999999999999E-2</v>
      </c>
      <c r="K129" s="254">
        <v>1.4999999999999999E-2</v>
      </c>
      <c r="L129" s="254">
        <v>1.4999999999999999E-2</v>
      </c>
      <c r="M129" s="254">
        <v>1.4999999999999999E-2</v>
      </c>
      <c r="N129" s="254">
        <v>1.4999999999999999E-2</v>
      </c>
      <c r="O129" s="26"/>
      <c r="P129" s="254">
        <v>1.4999999999999999E-2</v>
      </c>
      <c r="Q129" s="254">
        <v>1.4999999999999999E-2</v>
      </c>
      <c r="R129" s="254">
        <v>1.4999999999999999E-2</v>
      </c>
      <c r="S129" s="254">
        <v>1.4999999999999999E-2</v>
      </c>
      <c r="T129" s="254">
        <v>1.4999999999999999E-2</v>
      </c>
      <c r="U129" s="26"/>
      <c r="V129" s="254">
        <v>1.4999999999999999E-2</v>
      </c>
      <c r="W129" s="254">
        <v>1.4999999999999999E-2</v>
      </c>
      <c r="X129" s="254">
        <v>1.4999999999999999E-2</v>
      </c>
      <c r="Y129" s="254">
        <v>1.4999999999999999E-2</v>
      </c>
      <c r="Z129" s="254">
        <v>1.4999999999999999E-2</v>
      </c>
      <c r="AA129" s="26"/>
      <c r="AB129" s="254">
        <v>1.4999999999999999E-2</v>
      </c>
      <c r="AC129" s="254">
        <v>1.4999999999999999E-2</v>
      </c>
      <c r="AD129" s="254">
        <v>1.4999999999999999E-2</v>
      </c>
      <c r="AE129" s="254">
        <v>1.4999999999999999E-2</v>
      </c>
      <c r="AF129" s="254">
        <v>1.4999999999999999E-2</v>
      </c>
      <c r="AG129" s="26"/>
      <c r="AH129" s="254">
        <v>1.4999999999999999E-2</v>
      </c>
    </row>
    <row r="130" spans="1:34" ht="15.75" customHeight="1" x14ac:dyDescent="0.2">
      <c r="A130" s="289"/>
      <c r="B130" s="284"/>
      <c r="C130" s="273"/>
      <c r="D130" s="251"/>
      <c r="E130" s="254"/>
      <c r="F130" s="254"/>
      <c r="G130" s="254"/>
      <c r="H130" s="254"/>
      <c r="I130" s="26"/>
      <c r="J130" s="254"/>
      <c r="K130" s="254"/>
      <c r="L130" s="254"/>
      <c r="M130" s="254"/>
      <c r="N130" s="254"/>
      <c r="O130" s="26"/>
      <c r="P130" s="254"/>
      <c r="Q130" s="254"/>
      <c r="R130" s="254"/>
      <c r="S130" s="254"/>
      <c r="T130" s="254"/>
      <c r="U130" s="26"/>
      <c r="V130" s="254"/>
      <c r="W130" s="254"/>
      <c r="X130" s="254"/>
      <c r="Y130" s="254"/>
      <c r="Z130" s="254"/>
      <c r="AA130" s="26"/>
      <c r="AB130" s="254"/>
      <c r="AC130" s="254"/>
      <c r="AD130" s="254"/>
      <c r="AE130" s="254"/>
      <c r="AF130" s="254"/>
      <c r="AG130" s="26"/>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26"/>
      <c r="J131" s="254">
        <v>5.0000000000000001E-3</v>
      </c>
      <c r="K131" s="254">
        <v>5.0000000000000001E-3</v>
      </c>
      <c r="L131" s="254">
        <v>5.0000000000000001E-3</v>
      </c>
      <c r="M131" s="254">
        <v>5.0000000000000001E-3</v>
      </c>
      <c r="N131" s="254">
        <v>5.0000000000000001E-3</v>
      </c>
      <c r="O131" s="26"/>
      <c r="P131" s="254">
        <v>5.0000000000000001E-3</v>
      </c>
      <c r="Q131" s="254">
        <v>5.0000000000000001E-3</v>
      </c>
      <c r="R131" s="254">
        <v>5.0000000000000001E-3</v>
      </c>
      <c r="S131" s="254">
        <v>5.0000000000000001E-3</v>
      </c>
      <c r="T131" s="254">
        <v>5.0000000000000001E-3</v>
      </c>
      <c r="U131" s="26"/>
      <c r="V131" s="254">
        <v>5.0000000000000001E-3</v>
      </c>
      <c r="W131" s="254">
        <v>5.0000000000000001E-3</v>
      </c>
      <c r="X131" s="254">
        <v>5.0000000000000001E-3</v>
      </c>
      <c r="Y131" s="254">
        <v>5.0000000000000001E-3</v>
      </c>
      <c r="Z131" s="254">
        <v>5.0000000000000001E-3</v>
      </c>
      <c r="AA131" s="26"/>
      <c r="AB131" s="254">
        <v>5.0000000000000001E-3</v>
      </c>
      <c r="AC131" s="254">
        <v>5.0000000000000001E-3</v>
      </c>
      <c r="AD131" s="254">
        <v>5.0000000000000001E-3</v>
      </c>
      <c r="AE131" s="254">
        <v>5.0000000000000001E-3</v>
      </c>
      <c r="AF131" s="254">
        <v>5.0000000000000001E-3</v>
      </c>
      <c r="AG131" s="26"/>
      <c r="AH131" s="254">
        <v>5.0000000000000001E-3</v>
      </c>
    </row>
    <row r="132" spans="1:34" ht="15.75" customHeight="1" x14ac:dyDescent="0.2">
      <c r="A132" s="289"/>
      <c r="B132" s="284"/>
      <c r="C132" s="273"/>
      <c r="D132" s="251"/>
      <c r="E132" s="254"/>
      <c r="F132" s="254"/>
      <c r="G132" s="254"/>
      <c r="H132" s="254"/>
      <c r="I132" s="26"/>
      <c r="J132" s="254"/>
      <c r="K132" s="254"/>
      <c r="L132" s="254"/>
      <c r="M132" s="254"/>
      <c r="N132" s="254"/>
      <c r="O132" s="26"/>
      <c r="P132" s="254"/>
      <c r="Q132" s="254"/>
      <c r="R132" s="254"/>
      <c r="S132" s="254"/>
      <c r="T132" s="254"/>
      <c r="U132" s="26"/>
      <c r="V132" s="254"/>
      <c r="W132" s="254"/>
      <c r="X132" s="254"/>
      <c r="Y132" s="254"/>
      <c r="Z132" s="254"/>
      <c r="AA132" s="26"/>
      <c r="AB132" s="254"/>
      <c r="AC132" s="254"/>
      <c r="AD132" s="254"/>
      <c r="AE132" s="254"/>
      <c r="AF132" s="254"/>
      <c r="AG132" s="26"/>
      <c r="AH132" s="254"/>
    </row>
    <row r="133" spans="1:34" ht="15.75" customHeight="1" x14ac:dyDescent="0.2">
      <c r="A133" s="289"/>
      <c r="B133" s="284"/>
      <c r="C133" s="273" t="s">
        <v>7</v>
      </c>
      <c r="D133" s="272" t="s">
        <v>78</v>
      </c>
      <c r="E133" s="252">
        <v>0.02</v>
      </c>
      <c r="F133" s="252">
        <v>0.02</v>
      </c>
      <c r="G133" s="252">
        <v>0.02</v>
      </c>
      <c r="H133" s="252">
        <v>0.02</v>
      </c>
      <c r="I133" s="26"/>
      <c r="J133" s="252">
        <v>0.02</v>
      </c>
      <c r="K133" s="252">
        <v>0.02</v>
      </c>
      <c r="L133" s="252">
        <v>0.02</v>
      </c>
      <c r="M133" s="252">
        <v>0.02</v>
      </c>
      <c r="N133" s="252">
        <v>0.02</v>
      </c>
      <c r="O133" s="26"/>
      <c r="P133" s="252">
        <v>0.02</v>
      </c>
      <c r="Q133" s="252">
        <v>0.02</v>
      </c>
      <c r="R133" s="252">
        <v>0.02</v>
      </c>
      <c r="S133" s="252">
        <v>0.02</v>
      </c>
      <c r="T133" s="252">
        <v>0.02</v>
      </c>
      <c r="U133" s="26"/>
      <c r="V133" s="252">
        <v>0.02</v>
      </c>
      <c r="W133" s="252">
        <v>0.02</v>
      </c>
      <c r="X133" s="252">
        <v>0.02</v>
      </c>
      <c r="Y133" s="252">
        <v>0.02</v>
      </c>
      <c r="Z133" s="252">
        <v>0.02</v>
      </c>
      <c r="AA133" s="26"/>
      <c r="AB133" s="252">
        <v>0.02</v>
      </c>
      <c r="AC133" s="252">
        <v>0.02</v>
      </c>
      <c r="AD133" s="252">
        <v>0.02</v>
      </c>
      <c r="AE133" s="252">
        <v>0.02</v>
      </c>
      <c r="AF133" s="252">
        <v>0.02</v>
      </c>
      <c r="AG133" s="26"/>
      <c r="AH133" s="252">
        <v>0.02</v>
      </c>
    </row>
    <row r="134" spans="1:34" ht="15.75" customHeight="1" x14ac:dyDescent="0.2">
      <c r="A134" s="289"/>
      <c r="B134" s="284"/>
      <c r="C134" s="273"/>
      <c r="D134" s="251"/>
      <c r="E134" s="252"/>
      <c r="F134" s="252"/>
      <c r="G134" s="252"/>
      <c r="H134" s="252"/>
      <c r="I134" s="26"/>
      <c r="J134" s="252"/>
      <c r="K134" s="252"/>
      <c r="L134" s="252"/>
      <c r="M134" s="252"/>
      <c r="N134" s="252"/>
      <c r="O134" s="26"/>
      <c r="P134" s="252"/>
      <c r="Q134" s="252"/>
      <c r="R134" s="252"/>
      <c r="S134" s="252"/>
      <c r="T134" s="252"/>
      <c r="U134" s="26"/>
      <c r="V134" s="252"/>
      <c r="W134" s="252"/>
      <c r="X134" s="252"/>
      <c r="Y134" s="252"/>
      <c r="Z134" s="252"/>
      <c r="AA134" s="26"/>
      <c r="AB134" s="252"/>
      <c r="AC134" s="252"/>
      <c r="AD134" s="252"/>
      <c r="AE134" s="252"/>
      <c r="AF134" s="252"/>
      <c r="AG134" s="26"/>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26"/>
      <c r="J135" s="254">
        <v>1.4999999999999999E-2</v>
      </c>
      <c r="K135" s="254">
        <v>1.4999999999999999E-2</v>
      </c>
      <c r="L135" s="254">
        <v>1.4999999999999999E-2</v>
      </c>
      <c r="M135" s="254">
        <v>1.4999999999999999E-2</v>
      </c>
      <c r="N135" s="254">
        <v>1.4999999999999999E-2</v>
      </c>
      <c r="O135" s="26"/>
      <c r="P135" s="254">
        <v>1.4999999999999999E-2</v>
      </c>
      <c r="Q135" s="254">
        <v>1.4999999999999999E-2</v>
      </c>
      <c r="R135" s="254">
        <v>1.4999999999999999E-2</v>
      </c>
      <c r="S135" s="254">
        <v>1.4999999999999999E-2</v>
      </c>
      <c r="T135" s="254">
        <v>1.4999999999999999E-2</v>
      </c>
      <c r="U135" s="26"/>
      <c r="V135" s="254">
        <v>1.4999999999999999E-2</v>
      </c>
      <c r="W135" s="254">
        <v>1.4999999999999999E-2</v>
      </c>
      <c r="X135" s="254">
        <v>1.4999999999999999E-2</v>
      </c>
      <c r="Y135" s="254">
        <v>1.4999999999999999E-2</v>
      </c>
      <c r="Z135" s="254">
        <v>1.4999999999999999E-2</v>
      </c>
      <c r="AA135" s="26"/>
      <c r="AB135" s="254">
        <v>1.4999999999999999E-2</v>
      </c>
      <c r="AC135" s="254">
        <v>1.4999999999999999E-2</v>
      </c>
      <c r="AD135" s="254">
        <v>1.4999999999999999E-2</v>
      </c>
      <c r="AE135" s="254">
        <v>1.4999999999999999E-2</v>
      </c>
      <c r="AF135" s="254">
        <v>1.4999999999999999E-2</v>
      </c>
      <c r="AG135" s="26"/>
      <c r="AH135" s="254">
        <v>1.4999999999999999E-2</v>
      </c>
    </row>
    <row r="136" spans="1:34" ht="15.75" customHeight="1" x14ac:dyDescent="0.2">
      <c r="A136" s="289"/>
      <c r="B136" s="284"/>
      <c r="C136" s="273"/>
      <c r="D136" s="251"/>
      <c r="E136" s="254"/>
      <c r="F136" s="254"/>
      <c r="G136" s="254"/>
      <c r="H136" s="254"/>
      <c r="I136" s="26"/>
      <c r="J136" s="254"/>
      <c r="K136" s="254"/>
      <c r="L136" s="254"/>
      <c r="M136" s="254"/>
      <c r="N136" s="254"/>
      <c r="O136" s="26"/>
      <c r="P136" s="254"/>
      <c r="Q136" s="254"/>
      <c r="R136" s="254"/>
      <c r="S136" s="254"/>
      <c r="T136" s="254"/>
      <c r="U136" s="26"/>
      <c r="V136" s="254"/>
      <c r="W136" s="254"/>
      <c r="X136" s="254"/>
      <c r="Y136" s="254"/>
      <c r="Z136" s="254"/>
      <c r="AA136" s="26"/>
      <c r="AB136" s="254"/>
      <c r="AC136" s="254"/>
      <c r="AD136" s="254"/>
      <c r="AE136" s="254"/>
      <c r="AF136" s="254"/>
      <c r="AG136" s="26"/>
      <c r="AH136" s="254"/>
    </row>
    <row r="137" spans="1:34" ht="15.75" customHeight="1" x14ac:dyDescent="0.2">
      <c r="A137" s="289"/>
      <c r="B137" s="284" t="s">
        <v>87</v>
      </c>
      <c r="C137" s="273" t="s">
        <v>6</v>
      </c>
      <c r="D137" s="272" t="s">
        <v>78</v>
      </c>
      <c r="E137" s="254">
        <v>2.0000000000000001E-4</v>
      </c>
      <c r="F137" s="254">
        <v>2.0000000000000001E-4</v>
      </c>
      <c r="G137" s="254">
        <v>2.0000000000000001E-4</v>
      </c>
      <c r="H137" s="254">
        <v>2.0000000000000001E-4</v>
      </c>
      <c r="I137" s="26"/>
      <c r="J137" s="254">
        <v>2.0000000000000001E-4</v>
      </c>
      <c r="K137" s="254">
        <v>2.0000000000000001E-4</v>
      </c>
      <c r="L137" s="254">
        <v>2.0000000000000001E-4</v>
      </c>
      <c r="M137" s="254">
        <v>2.0000000000000001E-4</v>
      </c>
      <c r="N137" s="254">
        <v>2.0000000000000001E-4</v>
      </c>
      <c r="O137" s="26"/>
      <c r="P137" s="254">
        <v>2.0000000000000001E-4</v>
      </c>
      <c r="Q137" s="254">
        <v>2.0000000000000001E-4</v>
      </c>
      <c r="R137" s="254">
        <v>2.0000000000000001E-4</v>
      </c>
      <c r="S137" s="254">
        <v>2.0000000000000001E-4</v>
      </c>
      <c r="T137" s="254">
        <v>2.0000000000000001E-4</v>
      </c>
      <c r="U137" s="26"/>
      <c r="V137" s="254">
        <v>2.0000000000000001E-4</v>
      </c>
      <c r="W137" s="254">
        <v>2.0000000000000001E-4</v>
      </c>
      <c r="X137" s="254">
        <v>2.0000000000000001E-4</v>
      </c>
      <c r="Y137" s="254">
        <v>2.0000000000000001E-4</v>
      </c>
      <c r="Z137" s="254">
        <v>2.0000000000000001E-4</v>
      </c>
      <c r="AA137" s="26"/>
      <c r="AB137" s="254">
        <v>2.0000000000000001E-4</v>
      </c>
      <c r="AC137" s="254">
        <v>2.0000000000000001E-4</v>
      </c>
      <c r="AD137" s="254">
        <v>2.0000000000000001E-4</v>
      </c>
      <c r="AE137" s="254">
        <v>2.0000000000000001E-4</v>
      </c>
      <c r="AF137" s="254">
        <v>2.0000000000000001E-4</v>
      </c>
      <c r="AG137" s="26"/>
      <c r="AH137" s="254">
        <v>2.0000000000000001E-4</v>
      </c>
    </row>
    <row r="138" spans="1:34" ht="15.75" customHeight="1" x14ac:dyDescent="0.2">
      <c r="A138" s="289"/>
      <c r="B138" s="284"/>
      <c r="C138" s="273"/>
      <c r="D138" s="251"/>
      <c r="E138" s="254"/>
      <c r="F138" s="254"/>
      <c r="G138" s="254"/>
      <c r="H138" s="254"/>
      <c r="I138" s="26"/>
      <c r="J138" s="254"/>
      <c r="K138" s="254"/>
      <c r="L138" s="254"/>
      <c r="M138" s="254"/>
      <c r="N138" s="254"/>
      <c r="O138" s="26"/>
      <c r="P138" s="254"/>
      <c r="Q138" s="254"/>
      <c r="R138" s="254"/>
      <c r="S138" s="254"/>
      <c r="T138" s="254"/>
      <c r="U138" s="26"/>
      <c r="V138" s="254"/>
      <c r="W138" s="254"/>
      <c r="X138" s="254"/>
      <c r="Y138" s="254"/>
      <c r="Z138" s="254"/>
      <c r="AA138" s="26"/>
      <c r="AB138" s="254"/>
      <c r="AC138" s="254"/>
      <c r="AD138" s="254"/>
      <c r="AE138" s="254"/>
      <c r="AF138" s="254"/>
      <c r="AG138" s="26"/>
      <c r="AH138" s="254"/>
    </row>
    <row r="139" spans="1:34" ht="15.75" customHeight="1" x14ac:dyDescent="0.2">
      <c r="A139" s="289"/>
      <c r="B139" s="284"/>
      <c r="C139" s="273" t="s">
        <v>7</v>
      </c>
      <c r="D139" s="272" t="s">
        <v>78</v>
      </c>
      <c r="E139" s="252">
        <v>0.01</v>
      </c>
      <c r="F139" s="252">
        <v>0.01</v>
      </c>
      <c r="G139" s="252">
        <v>0.01</v>
      </c>
      <c r="H139" s="252">
        <v>0.01</v>
      </c>
      <c r="I139" s="26"/>
      <c r="J139" s="252">
        <v>0.01</v>
      </c>
      <c r="K139" s="252">
        <v>0.01</v>
      </c>
      <c r="L139" s="252">
        <v>0.01</v>
      </c>
      <c r="M139" s="252">
        <v>0.01</v>
      </c>
      <c r="N139" s="252">
        <v>0.01</v>
      </c>
      <c r="O139" s="26"/>
      <c r="P139" s="252">
        <v>0.01</v>
      </c>
      <c r="Q139" s="252">
        <v>0.01</v>
      </c>
      <c r="R139" s="252">
        <v>0.01</v>
      </c>
      <c r="S139" s="252">
        <v>0.01</v>
      </c>
      <c r="T139" s="252">
        <v>0.01</v>
      </c>
      <c r="U139" s="26"/>
      <c r="V139" s="252">
        <v>0.01</v>
      </c>
      <c r="W139" s="252">
        <v>0.01</v>
      </c>
      <c r="X139" s="252">
        <v>0.01</v>
      </c>
      <c r="Y139" s="252">
        <v>0.01</v>
      </c>
      <c r="Z139" s="252">
        <v>0.01</v>
      </c>
      <c r="AA139" s="26"/>
      <c r="AB139" s="252">
        <v>0.01</v>
      </c>
      <c r="AC139" s="252">
        <v>0.01</v>
      </c>
      <c r="AD139" s="252">
        <v>0.01</v>
      </c>
      <c r="AE139" s="252">
        <v>0.01</v>
      </c>
      <c r="AF139" s="252">
        <v>0.01</v>
      </c>
      <c r="AG139" s="26"/>
      <c r="AH139" s="252">
        <v>0.01</v>
      </c>
    </row>
    <row r="140" spans="1:34" ht="15.75" customHeight="1" x14ac:dyDescent="0.2">
      <c r="A140" s="289"/>
      <c r="B140" s="284"/>
      <c r="C140" s="273"/>
      <c r="D140" s="251"/>
      <c r="E140" s="252"/>
      <c r="F140" s="252"/>
      <c r="G140" s="252"/>
      <c r="H140" s="252"/>
      <c r="I140" s="26"/>
      <c r="J140" s="252"/>
      <c r="K140" s="252"/>
      <c r="L140" s="252"/>
      <c r="M140" s="252"/>
      <c r="N140" s="252"/>
      <c r="O140" s="26"/>
      <c r="P140" s="252"/>
      <c r="Q140" s="252"/>
      <c r="R140" s="252"/>
      <c r="S140" s="252"/>
      <c r="T140" s="252"/>
      <c r="U140" s="26"/>
      <c r="V140" s="252"/>
      <c r="W140" s="252"/>
      <c r="X140" s="252"/>
      <c r="Y140" s="252"/>
      <c r="Z140" s="252"/>
      <c r="AA140" s="26"/>
      <c r="AB140" s="252"/>
      <c r="AC140" s="252"/>
      <c r="AD140" s="252"/>
      <c r="AE140" s="252"/>
      <c r="AF140" s="252"/>
      <c r="AG140" s="26"/>
      <c r="AH140" s="252"/>
    </row>
    <row r="141" spans="1:34" ht="15.75" customHeight="1" x14ac:dyDescent="0.2">
      <c r="A141" s="289"/>
      <c r="B141" s="284"/>
      <c r="C141" s="273" t="s">
        <v>8</v>
      </c>
      <c r="D141" s="272" t="s">
        <v>78</v>
      </c>
      <c r="E141" s="254">
        <v>5.0000000000000001E-3</v>
      </c>
      <c r="F141" s="254">
        <v>5.0000000000000001E-3</v>
      </c>
      <c r="G141" s="254">
        <v>5.0000000000000001E-3</v>
      </c>
      <c r="H141" s="254">
        <v>5.0000000000000001E-3</v>
      </c>
      <c r="I141" s="26"/>
      <c r="J141" s="254">
        <v>5.0000000000000001E-3</v>
      </c>
      <c r="K141" s="254">
        <v>5.0000000000000001E-3</v>
      </c>
      <c r="L141" s="254">
        <v>5.0000000000000001E-3</v>
      </c>
      <c r="M141" s="254">
        <v>5.0000000000000001E-3</v>
      </c>
      <c r="N141" s="254">
        <v>5.0000000000000001E-3</v>
      </c>
      <c r="O141" s="26"/>
      <c r="P141" s="254">
        <v>5.0000000000000001E-3</v>
      </c>
      <c r="Q141" s="254">
        <v>5.0000000000000001E-3</v>
      </c>
      <c r="R141" s="254">
        <v>5.0000000000000001E-3</v>
      </c>
      <c r="S141" s="254">
        <v>5.0000000000000001E-3</v>
      </c>
      <c r="T141" s="254">
        <v>5.0000000000000001E-3</v>
      </c>
      <c r="U141" s="26"/>
      <c r="V141" s="254">
        <v>5.0000000000000001E-3</v>
      </c>
      <c r="W141" s="254">
        <v>5.0000000000000001E-3</v>
      </c>
      <c r="X141" s="254">
        <v>5.0000000000000001E-3</v>
      </c>
      <c r="Y141" s="254">
        <v>5.0000000000000001E-3</v>
      </c>
      <c r="Z141" s="254">
        <v>5.0000000000000001E-3</v>
      </c>
      <c r="AA141" s="26"/>
      <c r="AB141" s="254">
        <v>5.0000000000000001E-3</v>
      </c>
      <c r="AC141" s="254">
        <v>5.0000000000000001E-3</v>
      </c>
      <c r="AD141" s="254">
        <v>5.0000000000000001E-3</v>
      </c>
      <c r="AE141" s="254">
        <v>5.0000000000000001E-3</v>
      </c>
      <c r="AF141" s="254">
        <v>5.0000000000000001E-3</v>
      </c>
      <c r="AG141" s="26"/>
      <c r="AH141" s="254">
        <v>5.0000000000000001E-3</v>
      </c>
    </row>
    <row r="142" spans="1:34" ht="15.75" customHeight="1" x14ac:dyDescent="0.2">
      <c r="A142" s="289"/>
      <c r="B142" s="284"/>
      <c r="C142" s="273"/>
      <c r="D142" s="251"/>
      <c r="E142" s="254"/>
      <c r="F142" s="254"/>
      <c r="G142" s="254"/>
      <c r="H142" s="254"/>
      <c r="I142" s="26"/>
      <c r="J142" s="254"/>
      <c r="K142" s="254"/>
      <c r="L142" s="254"/>
      <c r="M142" s="254"/>
      <c r="N142" s="254"/>
      <c r="O142" s="26"/>
      <c r="P142" s="254"/>
      <c r="Q142" s="254"/>
      <c r="R142" s="254"/>
      <c r="S142" s="254"/>
      <c r="T142" s="254"/>
      <c r="U142" s="26"/>
      <c r="V142" s="254"/>
      <c r="W142" s="254"/>
      <c r="X142" s="254"/>
      <c r="Y142" s="254"/>
      <c r="Z142" s="254"/>
      <c r="AA142" s="26"/>
      <c r="AB142" s="254"/>
      <c r="AC142" s="254"/>
      <c r="AD142" s="254"/>
      <c r="AE142" s="254"/>
      <c r="AF142" s="254"/>
      <c r="AG142" s="26"/>
      <c r="AH142" s="254"/>
    </row>
    <row r="143" spans="1:34" x14ac:dyDescent="0.2">
      <c r="A143" s="289"/>
      <c r="B143" s="284" t="s">
        <v>139</v>
      </c>
      <c r="C143" s="23" t="s">
        <v>6</v>
      </c>
      <c r="D143" s="24" t="s">
        <v>135</v>
      </c>
      <c r="E143" s="23">
        <v>0</v>
      </c>
      <c r="F143" s="23">
        <v>0</v>
      </c>
      <c r="G143" s="23">
        <v>0</v>
      </c>
      <c r="H143" s="23">
        <v>1</v>
      </c>
      <c r="I143" s="26"/>
      <c r="J143" s="41">
        <v>1</v>
      </c>
      <c r="K143" s="23">
        <v>0</v>
      </c>
      <c r="L143" s="23">
        <v>0</v>
      </c>
      <c r="M143" s="23">
        <v>0</v>
      </c>
      <c r="N143" s="23">
        <v>1</v>
      </c>
      <c r="O143" s="26"/>
      <c r="P143" s="41">
        <v>1</v>
      </c>
      <c r="Q143" s="23">
        <v>0</v>
      </c>
      <c r="R143" s="23">
        <v>0</v>
      </c>
      <c r="S143" s="23">
        <v>0</v>
      </c>
      <c r="T143" s="23">
        <v>1</v>
      </c>
      <c r="U143" s="26"/>
      <c r="V143" s="41">
        <v>1</v>
      </c>
      <c r="W143" s="23">
        <v>0</v>
      </c>
      <c r="X143" s="23">
        <v>0</v>
      </c>
      <c r="Y143" s="23">
        <v>0</v>
      </c>
      <c r="Z143" s="23">
        <v>1</v>
      </c>
      <c r="AA143" s="26"/>
      <c r="AB143" s="41">
        <v>1</v>
      </c>
      <c r="AC143" s="23">
        <v>0</v>
      </c>
      <c r="AD143" s="23">
        <v>0</v>
      </c>
      <c r="AE143" s="23">
        <v>0</v>
      </c>
      <c r="AF143" s="23">
        <v>1</v>
      </c>
      <c r="AG143" s="26"/>
      <c r="AH143" s="41">
        <v>1</v>
      </c>
    </row>
    <row r="144" spans="1:34" x14ac:dyDescent="0.2">
      <c r="A144" s="289"/>
      <c r="B144" s="284"/>
      <c r="C144" s="23" t="s">
        <v>7</v>
      </c>
      <c r="D144" s="24" t="s">
        <v>135</v>
      </c>
      <c r="E144" s="23">
        <v>0</v>
      </c>
      <c r="F144" s="23">
        <v>0</v>
      </c>
      <c r="G144" s="23">
        <v>0</v>
      </c>
      <c r="H144" s="23">
        <v>1</v>
      </c>
      <c r="I144" s="26"/>
      <c r="J144" s="41">
        <v>1</v>
      </c>
      <c r="K144" s="23">
        <v>0</v>
      </c>
      <c r="L144" s="23">
        <v>0</v>
      </c>
      <c r="M144" s="23">
        <v>0</v>
      </c>
      <c r="N144" s="23">
        <v>1</v>
      </c>
      <c r="O144" s="26"/>
      <c r="P144" s="41">
        <v>1</v>
      </c>
      <c r="Q144" s="23">
        <v>0</v>
      </c>
      <c r="R144" s="23">
        <v>0</v>
      </c>
      <c r="S144" s="23">
        <v>0</v>
      </c>
      <c r="T144" s="23">
        <v>1</v>
      </c>
      <c r="U144" s="26"/>
      <c r="V144" s="41">
        <v>1</v>
      </c>
      <c r="W144" s="23">
        <v>0</v>
      </c>
      <c r="X144" s="23">
        <v>0</v>
      </c>
      <c r="Y144" s="23">
        <v>0</v>
      </c>
      <c r="Z144" s="23">
        <v>1</v>
      </c>
      <c r="AA144" s="26"/>
      <c r="AB144" s="41">
        <v>1</v>
      </c>
      <c r="AC144" s="23">
        <v>0</v>
      </c>
      <c r="AD144" s="23">
        <v>0</v>
      </c>
      <c r="AE144" s="23">
        <v>0</v>
      </c>
      <c r="AF144" s="23">
        <v>1</v>
      </c>
      <c r="AG144" s="26"/>
      <c r="AH144" s="41">
        <v>1</v>
      </c>
    </row>
    <row r="145" spans="1:34" x14ac:dyDescent="0.2">
      <c r="A145" s="289"/>
      <c r="B145" s="284"/>
      <c r="C145" s="23" t="s">
        <v>8</v>
      </c>
      <c r="D145" s="24" t="s">
        <v>135</v>
      </c>
      <c r="E145" s="23">
        <v>0</v>
      </c>
      <c r="F145" s="23">
        <v>0</v>
      </c>
      <c r="G145" s="23">
        <v>0</v>
      </c>
      <c r="H145" s="23">
        <v>1</v>
      </c>
      <c r="I145" s="26"/>
      <c r="J145" s="41">
        <v>1</v>
      </c>
      <c r="K145" s="23">
        <v>0</v>
      </c>
      <c r="L145" s="23">
        <v>0</v>
      </c>
      <c r="M145" s="23">
        <v>0</v>
      </c>
      <c r="N145" s="23">
        <v>1</v>
      </c>
      <c r="O145" s="26"/>
      <c r="P145" s="41">
        <v>1</v>
      </c>
      <c r="Q145" s="23">
        <v>0</v>
      </c>
      <c r="R145" s="23">
        <v>0</v>
      </c>
      <c r="S145" s="23">
        <v>0</v>
      </c>
      <c r="T145" s="23">
        <v>1</v>
      </c>
      <c r="U145" s="26"/>
      <c r="V145" s="41">
        <v>1</v>
      </c>
      <c r="W145" s="23">
        <v>0</v>
      </c>
      <c r="X145" s="23">
        <v>0</v>
      </c>
      <c r="Y145" s="23">
        <v>0</v>
      </c>
      <c r="Z145" s="23">
        <v>1</v>
      </c>
      <c r="AA145" s="26"/>
      <c r="AB145" s="41">
        <v>1</v>
      </c>
      <c r="AC145" s="23">
        <v>0</v>
      </c>
      <c r="AD145" s="23">
        <v>0</v>
      </c>
      <c r="AE145" s="23">
        <v>0</v>
      </c>
      <c r="AF145" s="23">
        <v>1</v>
      </c>
      <c r="AG145" s="26"/>
      <c r="AH145" s="41">
        <v>1</v>
      </c>
    </row>
    <row r="146" spans="1:34" ht="15.75" customHeight="1" x14ac:dyDescent="0.2">
      <c r="A146" s="289"/>
      <c r="B146" s="284" t="s">
        <v>140</v>
      </c>
      <c r="C146" s="273" t="s">
        <v>26</v>
      </c>
      <c r="D146" s="272" t="s">
        <v>78</v>
      </c>
      <c r="E146" s="252">
        <v>0.5</v>
      </c>
      <c r="F146" s="252">
        <v>0.5</v>
      </c>
      <c r="G146" s="252">
        <v>0.5</v>
      </c>
      <c r="H146" s="252">
        <v>0.5</v>
      </c>
      <c r="I146" s="26"/>
      <c r="J146" s="252">
        <v>0.5</v>
      </c>
      <c r="K146" s="252">
        <v>0.5</v>
      </c>
      <c r="L146" s="252">
        <v>0.5</v>
      </c>
      <c r="M146" s="252">
        <v>0.5</v>
      </c>
      <c r="N146" s="252">
        <v>0.5</v>
      </c>
      <c r="O146" s="26"/>
      <c r="P146" s="252">
        <v>0.5</v>
      </c>
      <c r="Q146" s="252">
        <v>0.5</v>
      </c>
      <c r="R146" s="252">
        <v>0.5</v>
      </c>
      <c r="S146" s="252">
        <v>0.5</v>
      </c>
      <c r="T146" s="252">
        <v>0.5</v>
      </c>
      <c r="U146" s="26"/>
      <c r="V146" s="252">
        <v>0.5</v>
      </c>
      <c r="W146" s="252">
        <v>0.5</v>
      </c>
      <c r="X146" s="252">
        <v>0.5</v>
      </c>
      <c r="Y146" s="252">
        <v>0.5</v>
      </c>
      <c r="Z146" s="252">
        <v>0.5</v>
      </c>
      <c r="AA146" s="26"/>
      <c r="AB146" s="252">
        <v>0.5</v>
      </c>
      <c r="AC146" s="252">
        <v>0.5</v>
      </c>
      <c r="AD146" s="252">
        <v>0.5</v>
      </c>
      <c r="AE146" s="252">
        <v>0.5</v>
      </c>
      <c r="AF146" s="252">
        <v>0.5</v>
      </c>
      <c r="AG146" s="26"/>
      <c r="AH146" s="252">
        <v>0.5</v>
      </c>
    </row>
    <row r="147" spans="1:34" x14ac:dyDescent="0.2">
      <c r="A147" s="289"/>
      <c r="B147" s="284"/>
      <c r="C147" s="273"/>
      <c r="D147" s="251"/>
      <c r="E147" s="252"/>
      <c r="F147" s="252"/>
      <c r="G147" s="252"/>
      <c r="H147" s="252"/>
      <c r="I147" s="26"/>
      <c r="J147" s="252"/>
      <c r="K147" s="252"/>
      <c r="L147" s="252"/>
      <c r="M147" s="252"/>
      <c r="N147" s="252"/>
      <c r="O147" s="26"/>
      <c r="P147" s="252"/>
      <c r="Q147" s="252"/>
      <c r="R147" s="252"/>
      <c r="S147" s="252"/>
      <c r="T147" s="252"/>
      <c r="U147" s="26"/>
      <c r="V147" s="252"/>
      <c r="W147" s="252"/>
      <c r="X147" s="252"/>
      <c r="Y147" s="252"/>
      <c r="Z147" s="252"/>
      <c r="AA147" s="26"/>
      <c r="AB147" s="252"/>
      <c r="AC147" s="252"/>
      <c r="AD147" s="252"/>
      <c r="AE147" s="252"/>
      <c r="AF147" s="252"/>
      <c r="AG147" s="26"/>
      <c r="AH147" s="252"/>
    </row>
    <row r="148" spans="1:34" ht="15.75" customHeight="1" x14ac:dyDescent="0.2">
      <c r="A148" s="289"/>
      <c r="B148" s="284"/>
      <c r="C148" s="291" t="s">
        <v>7</v>
      </c>
      <c r="D148" s="272" t="s">
        <v>78</v>
      </c>
      <c r="E148" s="252">
        <v>1</v>
      </c>
      <c r="F148" s="252">
        <v>1</v>
      </c>
      <c r="G148" s="252">
        <v>1</v>
      </c>
      <c r="H148" s="252">
        <v>1</v>
      </c>
      <c r="I148" s="26"/>
      <c r="J148" s="252">
        <v>1</v>
      </c>
      <c r="K148" s="252">
        <v>1</v>
      </c>
      <c r="L148" s="252">
        <v>1</v>
      </c>
      <c r="M148" s="252">
        <v>1</v>
      </c>
      <c r="N148" s="252">
        <v>1</v>
      </c>
      <c r="O148" s="26"/>
      <c r="P148" s="252">
        <v>1</v>
      </c>
      <c r="Q148" s="252">
        <v>1</v>
      </c>
      <c r="R148" s="252">
        <v>1</v>
      </c>
      <c r="S148" s="252">
        <v>1</v>
      </c>
      <c r="T148" s="252">
        <v>1</v>
      </c>
      <c r="U148" s="26"/>
      <c r="V148" s="252">
        <v>1</v>
      </c>
      <c r="W148" s="252">
        <v>1</v>
      </c>
      <c r="X148" s="252">
        <v>1</v>
      </c>
      <c r="Y148" s="252">
        <v>1</v>
      </c>
      <c r="Z148" s="252">
        <v>1</v>
      </c>
      <c r="AA148" s="26"/>
      <c r="AB148" s="252">
        <v>1</v>
      </c>
      <c r="AC148" s="252">
        <v>1</v>
      </c>
      <c r="AD148" s="252">
        <v>1</v>
      </c>
      <c r="AE148" s="252">
        <v>1</v>
      </c>
      <c r="AF148" s="252">
        <v>1</v>
      </c>
      <c r="AG148" s="26"/>
      <c r="AH148" s="252">
        <v>1</v>
      </c>
    </row>
    <row r="149" spans="1:34" ht="15.75" customHeight="1" x14ac:dyDescent="0.2">
      <c r="A149" s="289"/>
      <c r="B149" s="284"/>
      <c r="C149" s="291"/>
      <c r="D149" s="251"/>
      <c r="E149" s="252"/>
      <c r="F149" s="252"/>
      <c r="G149" s="252"/>
      <c r="H149" s="252"/>
      <c r="I149" s="26"/>
      <c r="J149" s="252"/>
      <c r="K149" s="252"/>
      <c r="L149" s="252"/>
      <c r="M149" s="252"/>
      <c r="N149" s="252"/>
      <c r="O149" s="26"/>
      <c r="P149" s="252"/>
      <c r="Q149" s="252"/>
      <c r="R149" s="252"/>
      <c r="S149" s="252"/>
      <c r="T149" s="252"/>
      <c r="U149" s="26"/>
      <c r="V149" s="252"/>
      <c r="W149" s="252"/>
      <c r="X149" s="252"/>
      <c r="Y149" s="252"/>
      <c r="Z149" s="252"/>
      <c r="AA149" s="26"/>
      <c r="AB149" s="252"/>
      <c r="AC149" s="252"/>
      <c r="AD149" s="252"/>
      <c r="AE149" s="252"/>
      <c r="AF149" s="252"/>
      <c r="AG149" s="26"/>
      <c r="AH149" s="252"/>
    </row>
    <row r="150" spans="1:34" ht="15.75" customHeight="1" x14ac:dyDescent="0.2">
      <c r="A150" s="289"/>
      <c r="B150" s="284"/>
      <c r="C150" s="273" t="s">
        <v>8</v>
      </c>
      <c r="D150" s="272" t="s">
        <v>78</v>
      </c>
      <c r="E150" s="252">
        <v>0.5</v>
      </c>
      <c r="F150" s="252">
        <v>0.5</v>
      </c>
      <c r="G150" s="252">
        <v>0.5</v>
      </c>
      <c r="H150" s="252">
        <v>0.5</v>
      </c>
      <c r="I150" s="26"/>
      <c r="J150" s="252">
        <v>0.5</v>
      </c>
      <c r="K150" s="252">
        <v>0.5</v>
      </c>
      <c r="L150" s="252">
        <v>0.5</v>
      </c>
      <c r="M150" s="252">
        <v>0.5</v>
      </c>
      <c r="N150" s="252">
        <v>0.5</v>
      </c>
      <c r="O150" s="26"/>
      <c r="P150" s="252">
        <v>0.5</v>
      </c>
      <c r="Q150" s="252">
        <v>0.5</v>
      </c>
      <c r="R150" s="252">
        <v>0.5</v>
      </c>
      <c r="S150" s="252">
        <v>0.5</v>
      </c>
      <c r="T150" s="252">
        <v>0.5</v>
      </c>
      <c r="U150" s="26"/>
      <c r="V150" s="252">
        <v>0.5</v>
      </c>
      <c r="W150" s="252">
        <v>0.5</v>
      </c>
      <c r="X150" s="252">
        <v>0.5</v>
      </c>
      <c r="Y150" s="252">
        <v>0.5</v>
      </c>
      <c r="Z150" s="252">
        <v>0.5</v>
      </c>
      <c r="AA150" s="26"/>
      <c r="AB150" s="252">
        <v>0.5</v>
      </c>
      <c r="AC150" s="252">
        <v>0.5</v>
      </c>
      <c r="AD150" s="252">
        <v>0.5</v>
      </c>
      <c r="AE150" s="252">
        <v>0.5</v>
      </c>
      <c r="AF150" s="252">
        <v>0.5</v>
      </c>
      <c r="AG150" s="26"/>
      <c r="AH150" s="252">
        <v>0.5</v>
      </c>
    </row>
    <row r="151" spans="1:34" ht="15.75" customHeight="1" x14ac:dyDescent="0.2">
      <c r="A151" s="289"/>
      <c r="B151" s="284"/>
      <c r="C151" s="273"/>
      <c r="D151" s="251"/>
      <c r="E151" s="252"/>
      <c r="F151" s="252"/>
      <c r="G151" s="252"/>
      <c r="H151" s="252"/>
      <c r="I151" s="26"/>
      <c r="J151" s="252"/>
      <c r="K151" s="252"/>
      <c r="L151" s="252"/>
      <c r="M151" s="252"/>
      <c r="N151" s="252"/>
      <c r="O151" s="26"/>
      <c r="P151" s="252"/>
      <c r="Q151" s="252"/>
      <c r="R151" s="252"/>
      <c r="S151" s="252"/>
      <c r="T151" s="252"/>
      <c r="U151" s="26"/>
      <c r="V151" s="252"/>
      <c r="W151" s="252"/>
      <c r="X151" s="252"/>
      <c r="Y151" s="252"/>
      <c r="Z151" s="252"/>
      <c r="AA151" s="26"/>
      <c r="AB151" s="252"/>
      <c r="AC151" s="252"/>
      <c r="AD151" s="252"/>
      <c r="AE151" s="252"/>
      <c r="AF151" s="252"/>
      <c r="AG151" s="26"/>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v>
      </c>
      <c r="F159" s="252">
        <v>0</v>
      </c>
      <c r="G159" s="252">
        <v>0</v>
      </c>
      <c r="H159" s="252">
        <v>0</v>
      </c>
      <c r="I159" s="26"/>
      <c r="J159" s="252">
        <v>0</v>
      </c>
      <c r="K159" s="252">
        <v>0</v>
      </c>
      <c r="L159" s="252">
        <v>0</v>
      </c>
      <c r="M159" s="252">
        <v>0</v>
      </c>
      <c r="N159" s="252">
        <v>0</v>
      </c>
      <c r="O159" s="26"/>
      <c r="P159" s="252">
        <v>0</v>
      </c>
      <c r="Q159" s="252">
        <v>0</v>
      </c>
      <c r="R159" s="252">
        <v>0</v>
      </c>
      <c r="S159" s="252">
        <v>0</v>
      </c>
      <c r="T159" s="252">
        <v>0</v>
      </c>
      <c r="U159" s="26"/>
      <c r="V159" s="252">
        <v>0</v>
      </c>
      <c r="W159" s="252">
        <v>0</v>
      </c>
      <c r="X159" s="252">
        <v>0</v>
      </c>
      <c r="Y159" s="252">
        <v>0</v>
      </c>
      <c r="Z159" s="252">
        <v>0</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v>
      </c>
      <c r="F161" s="252">
        <v>0</v>
      </c>
      <c r="G161" s="252">
        <v>0</v>
      </c>
      <c r="H161" s="252">
        <v>0</v>
      </c>
      <c r="I161" s="26"/>
      <c r="J161" s="252">
        <v>0</v>
      </c>
      <c r="K161" s="252">
        <v>0</v>
      </c>
      <c r="L161" s="252">
        <v>0</v>
      </c>
      <c r="M161" s="252">
        <v>0</v>
      </c>
      <c r="N161" s="252">
        <v>0</v>
      </c>
      <c r="O161" s="26"/>
      <c r="P161" s="252">
        <v>0</v>
      </c>
      <c r="Q161" s="252">
        <v>0</v>
      </c>
      <c r="R161" s="252">
        <v>0</v>
      </c>
      <c r="S161" s="252">
        <v>0</v>
      </c>
      <c r="T161" s="252">
        <v>0</v>
      </c>
      <c r="U161" s="26"/>
      <c r="V161" s="252">
        <v>0</v>
      </c>
      <c r="W161" s="252">
        <v>0</v>
      </c>
      <c r="X161" s="252">
        <v>0</v>
      </c>
      <c r="Y161" s="252">
        <v>0</v>
      </c>
      <c r="Z161" s="252">
        <v>0</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v>
      </c>
      <c r="F163" s="252">
        <v>0</v>
      </c>
      <c r="G163" s="252">
        <v>0</v>
      </c>
      <c r="H163" s="252">
        <v>0</v>
      </c>
      <c r="I163" s="26"/>
      <c r="J163" s="252">
        <v>0</v>
      </c>
      <c r="K163" s="252">
        <v>0</v>
      </c>
      <c r="L163" s="252">
        <v>0</v>
      </c>
      <c r="M163" s="252">
        <v>0</v>
      </c>
      <c r="N163" s="252">
        <v>0</v>
      </c>
      <c r="O163" s="26"/>
      <c r="P163" s="252">
        <v>0</v>
      </c>
      <c r="Q163" s="252">
        <v>0</v>
      </c>
      <c r="R163" s="252">
        <v>0</v>
      </c>
      <c r="S163" s="252">
        <v>0</v>
      </c>
      <c r="T163" s="252">
        <v>0</v>
      </c>
      <c r="U163" s="26"/>
      <c r="V163" s="252">
        <v>0</v>
      </c>
      <c r="W163" s="252">
        <v>0</v>
      </c>
      <c r="X163" s="252">
        <v>0</v>
      </c>
      <c r="Y163" s="252">
        <v>0</v>
      </c>
      <c r="Z163" s="252">
        <v>0</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73"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73"/>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73"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73"/>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73"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73"/>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73"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73"/>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73"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73"/>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73"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73"/>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9.5" customHeight="1" x14ac:dyDescent="0.2">
      <c r="A183" s="273"/>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F189" s="306"/>
      <c r="AG189" s="306"/>
      <c r="AH189" s="306"/>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x14ac:dyDescent="0.2">
      <c r="A195" s="43">
        <v>2.1</v>
      </c>
      <c r="B195" s="264" t="s">
        <v>30</v>
      </c>
      <c r="C195" s="264"/>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15.75" customHeight="1" x14ac:dyDescent="0.2">
      <c r="A196" s="289"/>
      <c r="B196" s="288" t="s">
        <v>142</v>
      </c>
      <c r="C196" s="288"/>
      <c r="D196" s="273" t="s">
        <v>78</v>
      </c>
      <c r="E196" s="254">
        <v>0.50390000000000001</v>
      </c>
      <c r="F196" s="254">
        <v>0.50390000000000001</v>
      </c>
      <c r="G196" s="254">
        <v>0.50390000000000001</v>
      </c>
      <c r="H196" s="254">
        <v>0.50390000000000001</v>
      </c>
      <c r="I196" s="45"/>
      <c r="J196" s="254">
        <v>0.50390000000000001</v>
      </c>
      <c r="K196" s="254">
        <v>0.4839</v>
      </c>
      <c r="L196" s="254">
        <v>0.4839</v>
      </c>
      <c r="M196" s="254">
        <v>0.4839</v>
      </c>
      <c r="N196" s="254">
        <v>0.4839</v>
      </c>
      <c r="O196" s="45"/>
      <c r="P196" s="254">
        <v>0.4839</v>
      </c>
      <c r="Q196" s="254">
        <v>0.46389999999999998</v>
      </c>
      <c r="R196" s="254">
        <v>0.46389999999999998</v>
      </c>
      <c r="S196" s="254">
        <v>0.46389999999999998</v>
      </c>
      <c r="T196" s="254">
        <v>0.46389999999999998</v>
      </c>
      <c r="U196" s="45"/>
      <c r="V196" s="254">
        <v>0.46389999999999998</v>
      </c>
      <c r="W196" s="254">
        <v>0.44390000000000002</v>
      </c>
      <c r="X196" s="254">
        <v>0.44390000000000002</v>
      </c>
      <c r="Y196" s="254">
        <v>0.44390000000000002</v>
      </c>
      <c r="Z196" s="254">
        <v>0.44390000000000002</v>
      </c>
      <c r="AA196" s="45"/>
      <c r="AB196" s="254">
        <v>0.44390000000000002</v>
      </c>
      <c r="AC196" s="254">
        <v>0.4239</v>
      </c>
      <c r="AD196" s="254">
        <v>0.4239</v>
      </c>
      <c r="AE196" s="254">
        <v>0.4239</v>
      </c>
      <c r="AF196" s="254">
        <v>0.4239</v>
      </c>
      <c r="AG196" s="29"/>
      <c r="AH196" s="254">
        <v>0.4239</v>
      </c>
    </row>
    <row r="197" spans="1:34" ht="37.200000000000003"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3</v>
      </c>
      <c r="F200" s="250">
        <v>3</v>
      </c>
      <c r="G200" s="250">
        <v>3</v>
      </c>
      <c r="H200" s="250">
        <v>3</v>
      </c>
      <c r="I200" s="26"/>
      <c r="J200" s="250">
        <v>3</v>
      </c>
      <c r="K200" s="250">
        <v>3</v>
      </c>
      <c r="L200" s="250">
        <v>3</v>
      </c>
      <c r="M200" s="250">
        <v>3</v>
      </c>
      <c r="N200" s="250">
        <v>3</v>
      </c>
      <c r="O200" s="26"/>
      <c r="P200" s="250">
        <v>3</v>
      </c>
      <c r="Q200" s="250">
        <v>3</v>
      </c>
      <c r="R200" s="250">
        <v>3</v>
      </c>
      <c r="S200" s="250">
        <v>3</v>
      </c>
      <c r="T200" s="250">
        <v>3</v>
      </c>
      <c r="U200" s="26"/>
      <c r="V200" s="250">
        <v>3</v>
      </c>
      <c r="W200" s="250">
        <v>3</v>
      </c>
      <c r="X200" s="250">
        <v>3</v>
      </c>
      <c r="Y200" s="250">
        <v>3</v>
      </c>
      <c r="Z200" s="250">
        <v>3</v>
      </c>
      <c r="AA200" s="26"/>
      <c r="AB200" s="250">
        <v>3</v>
      </c>
      <c r="AC200" s="250">
        <v>3</v>
      </c>
      <c r="AD200" s="250">
        <v>3</v>
      </c>
      <c r="AE200" s="250">
        <v>3</v>
      </c>
      <c r="AF200" s="250">
        <v>3</v>
      </c>
      <c r="AG200" s="26"/>
      <c r="AH200" s="250">
        <v>3</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73" t="s">
        <v>26</v>
      </c>
      <c r="D202" s="273" t="s">
        <v>78</v>
      </c>
      <c r="E202" s="249">
        <v>1</v>
      </c>
      <c r="F202" s="249">
        <v>1</v>
      </c>
      <c r="G202" s="249">
        <v>1</v>
      </c>
      <c r="H202" s="249">
        <v>1</v>
      </c>
      <c r="I202" s="26"/>
      <c r="J202" s="249">
        <v>1</v>
      </c>
      <c r="K202" s="249">
        <v>1</v>
      </c>
      <c r="L202" s="249">
        <v>1</v>
      </c>
      <c r="M202" s="249">
        <v>1</v>
      </c>
      <c r="N202" s="249">
        <v>1</v>
      </c>
      <c r="O202" s="26"/>
      <c r="P202" s="249">
        <v>1</v>
      </c>
      <c r="Q202" s="250">
        <v>0.2</v>
      </c>
      <c r="R202" s="250">
        <v>0.2</v>
      </c>
      <c r="S202" s="250">
        <v>0.2</v>
      </c>
      <c r="T202" s="250">
        <v>0.2</v>
      </c>
      <c r="U202" s="26"/>
      <c r="V202" s="250">
        <v>0.2</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73"/>
      <c r="D203" s="273"/>
      <c r="E203" s="249"/>
      <c r="F203" s="249"/>
      <c r="G203" s="249"/>
      <c r="H203" s="249"/>
      <c r="I203" s="26"/>
      <c r="J203" s="249"/>
      <c r="K203" s="249"/>
      <c r="L203" s="249"/>
      <c r="M203" s="249"/>
      <c r="N203" s="249"/>
      <c r="O203" s="26"/>
      <c r="P203" s="249"/>
      <c r="Q203" s="251"/>
      <c r="R203" s="251"/>
      <c r="S203" s="251"/>
      <c r="T203" s="251"/>
      <c r="U203" s="26"/>
      <c r="V203" s="251"/>
      <c r="W203" s="249"/>
      <c r="X203" s="249"/>
      <c r="Y203" s="249"/>
      <c r="Z203" s="249"/>
      <c r="AA203" s="26"/>
      <c r="AB203" s="249"/>
      <c r="AC203" s="249"/>
      <c r="AD203" s="249"/>
      <c r="AE203" s="249"/>
      <c r="AF203" s="249"/>
      <c r="AG203" s="26"/>
      <c r="AH203" s="249"/>
    </row>
    <row r="204" spans="1:34" ht="15.75" customHeight="1" x14ac:dyDescent="0.2">
      <c r="A204" s="289"/>
      <c r="B204" s="284"/>
      <c r="C204" s="273"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73"/>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73"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73"/>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73" t="s">
        <v>78</v>
      </c>
      <c r="E208" s="249">
        <f>6.05/9.575</f>
        <v>0.63185378590078334</v>
      </c>
      <c r="F208" s="249">
        <f>6.05/9.575</f>
        <v>0.63185378590078334</v>
      </c>
      <c r="G208" s="249">
        <f>6.05/9.575</f>
        <v>0.63185378590078334</v>
      </c>
      <c r="H208" s="249">
        <f>6.05/9.575</f>
        <v>0.63185378590078334</v>
      </c>
      <c r="I208" s="19"/>
      <c r="J208" s="249">
        <f>6.05/9.575</f>
        <v>0.63185378590078334</v>
      </c>
      <c r="K208" s="249">
        <f>6.05/9.575</f>
        <v>0.63185378590078334</v>
      </c>
      <c r="L208" s="249">
        <f>6.05/9.575</f>
        <v>0.63185378590078334</v>
      </c>
      <c r="M208" s="249">
        <f>6.05/9.575</f>
        <v>0.63185378590078334</v>
      </c>
      <c r="N208" s="249">
        <f>6.05/9.575</f>
        <v>0.63185378590078334</v>
      </c>
      <c r="O208" s="19"/>
      <c r="P208" s="249">
        <f>6.05/9.575</f>
        <v>0.63185378590078334</v>
      </c>
      <c r="Q208" s="249">
        <f>6.05/9.575</f>
        <v>0.63185378590078334</v>
      </c>
      <c r="R208" s="249">
        <f>6.05/9.575</f>
        <v>0.63185378590078334</v>
      </c>
      <c r="S208" s="249">
        <f>6.05/9.575</f>
        <v>0.63185378590078334</v>
      </c>
      <c r="T208" s="249">
        <f>6.05/9.575</f>
        <v>0.63185378590078334</v>
      </c>
      <c r="U208" s="19"/>
      <c r="V208" s="249">
        <f>6.05/9.575</f>
        <v>0.63185378590078334</v>
      </c>
      <c r="W208" s="249">
        <f>6.05/9.575</f>
        <v>0.63185378590078334</v>
      </c>
      <c r="X208" s="249">
        <f>6.05/9.575</f>
        <v>0.63185378590078334</v>
      </c>
      <c r="Y208" s="249">
        <f>6.05/9.575</f>
        <v>0.63185378590078334</v>
      </c>
      <c r="Z208" s="249">
        <f>6.05/9.575</f>
        <v>0.63185378590078334</v>
      </c>
      <c r="AA208" s="19"/>
      <c r="AB208" s="249">
        <f>6.05/9.575</f>
        <v>0.63185378590078334</v>
      </c>
      <c r="AC208" s="249">
        <f>6.05/9.575</f>
        <v>0.63185378590078334</v>
      </c>
      <c r="AD208" s="249">
        <f>6.05/9.575</f>
        <v>0.63185378590078334</v>
      </c>
      <c r="AE208" s="249">
        <f>6.05/9.575</f>
        <v>0.63185378590078334</v>
      </c>
      <c r="AF208" s="249">
        <f>6.05/9.575</f>
        <v>0.63185378590078334</v>
      </c>
      <c r="AG208" s="19"/>
      <c r="AH208" s="249">
        <f>6.05/9.575</f>
        <v>0.63185378590078334</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f>4077/4077</f>
        <v>1</v>
      </c>
      <c r="F210" s="249">
        <f>4077/4077</f>
        <v>1</v>
      </c>
      <c r="G210" s="249">
        <f>4077/4077</f>
        <v>1</v>
      </c>
      <c r="H210" s="249">
        <f>4077/4077</f>
        <v>1</v>
      </c>
      <c r="I210" s="19"/>
      <c r="J210" s="249">
        <f>4077/4077</f>
        <v>1</v>
      </c>
      <c r="K210" s="249">
        <f>2669/2669</f>
        <v>1</v>
      </c>
      <c r="L210" s="249">
        <f>2669/2669</f>
        <v>1</v>
      </c>
      <c r="M210" s="249">
        <f>2669/2669</f>
        <v>1</v>
      </c>
      <c r="N210" s="249">
        <f>2669/2669</f>
        <v>1</v>
      </c>
      <c r="O210" s="1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4.4" x14ac:dyDescent="0.3">
      <c r="A212" s="17">
        <v>2.2000000000000002</v>
      </c>
      <c r="B212" s="279" t="s">
        <v>33</v>
      </c>
      <c r="C212" s="505"/>
      <c r="D212" s="276"/>
      <c r="E212" s="276"/>
      <c r="F212" s="276"/>
      <c r="G212" s="276"/>
      <c r="H212" s="276"/>
      <c r="I212" s="276"/>
      <c r="J212" s="276"/>
      <c r="K212" s="276"/>
      <c r="L212" s="276"/>
      <c r="M212" s="276"/>
      <c r="N212" s="276"/>
      <c r="O212" s="276"/>
      <c r="P212" s="276"/>
      <c r="Q212" s="276"/>
      <c r="R212" s="276"/>
      <c r="S212" s="276"/>
      <c r="T212" s="276"/>
      <c r="U212" s="276"/>
      <c r="V212" s="276"/>
      <c r="W212" s="276"/>
      <c r="X212" s="276"/>
      <c r="Y212" s="276"/>
      <c r="Z212" s="276"/>
      <c r="AA212" s="276"/>
      <c r="AB212" s="276"/>
      <c r="AC212" s="276"/>
      <c r="AD212" s="276"/>
      <c r="AE212" s="276"/>
      <c r="AF212" s="276"/>
      <c r="AG212" s="276"/>
      <c r="AH212" s="277"/>
    </row>
    <row r="213" spans="1:34"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f>17.855/9.575</f>
        <v>1.8647519582245433</v>
      </c>
      <c r="X213" s="249">
        <f>17.855/9.575</f>
        <v>1.8647519582245433</v>
      </c>
      <c r="Y213" s="249">
        <f>17.855/9.575</f>
        <v>1.8647519582245433</v>
      </c>
      <c r="Z213" s="249">
        <f>17.855/9.575</f>
        <v>1.8647519582245433</v>
      </c>
      <c r="AA213" s="19"/>
      <c r="AB213" s="249">
        <f>17.855/9.575</f>
        <v>1.8647519582245433</v>
      </c>
      <c r="AC213" s="249">
        <f>17.855/9.575</f>
        <v>1.8647519582245433</v>
      </c>
      <c r="AD213" s="249">
        <f>17.855/9.575</f>
        <v>1.8647519582245433</v>
      </c>
      <c r="AE213" s="249">
        <f>17.855/9.575</f>
        <v>1.8647519582245433</v>
      </c>
      <c r="AF213" s="249">
        <f>17.855/9.575</f>
        <v>1.8647519582245433</v>
      </c>
      <c r="AG213" s="19"/>
      <c r="AH213" s="249">
        <f>17.855/9.575</f>
        <v>1.8647519582245433</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449"/>
      <c r="X214" s="449"/>
      <c r="Y214" s="449"/>
      <c r="Z214" s="449"/>
      <c r="AA214" s="19"/>
      <c r="AB214" s="449"/>
      <c r="AC214" s="449"/>
      <c r="AD214" s="449"/>
      <c r="AE214" s="449"/>
      <c r="AF214" s="449"/>
      <c r="AG214" s="19"/>
      <c r="AH214" s="449"/>
    </row>
    <row r="215" spans="1:34"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1</v>
      </c>
      <c r="AA215" s="19"/>
      <c r="AB215" s="249">
        <v>1</v>
      </c>
      <c r="AC215" s="249">
        <v>1</v>
      </c>
      <c r="AD215" s="249">
        <v>1</v>
      </c>
      <c r="AE215" s="249">
        <v>1</v>
      </c>
      <c r="AF215" s="249">
        <v>1</v>
      </c>
      <c r="AG215" s="19"/>
      <c r="AH215" s="249">
        <v>1</v>
      </c>
    </row>
    <row r="216" spans="1:34" ht="26.25"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36" customHeight="1" x14ac:dyDescent="0.2">
      <c r="A217" s="289"/>
      <c r="B217" s="284" t="s">
        <v>153</v>
      </c>
      <c r="C217" s="284"/>
      <c r="D217" s="25" t="s">
        <v>100</v>
      </c>
      <c r="E217" s="250">
        <v>0</v>
      </c>
      <c r="F217" s="250">
        <v>0</v>
      </c>
      <c r="G217" s="250">
        <v>0</v>
      </c>
      <c r="H217" s="250">
        <v>0</v>
      </c>
      <c r="I217" s="26"/>
      <c r="J217" s="250">
        <v>0</v>
      </c>
      <c r="K217" s="250">
        <v>0</v>
      </c>
      <c r="L217" s="250">
        <v>0</v>
      </c>
      <c r="M217" s="250">
        <v>0</v>
      </c>
      <c r="N217" s="250">
        <v>0</v>
      </c>
      <c r="O217" s="26"/>
      <c r="P217" s="250">
        <v>0</v>
      </c>
      <c r="Q217" s="250">
        <v>0</v>
      </c>
      <c r="R217" s="250">
        <v>0</v>
      </c>
      <c r="S217" s="250">
        <v>0</v>
      </c>
      <c r="T217" s="250">
        <v>0</v>
      </c>
      <c r="U217" s="26"/>
      <c r="V217" s="250">
        <v>0</v>
      </c>
      <c r="W217" s="514">
        <v>0.185</v>
      </c>
      <c r="X217" s="514">
        <v>0.185</v>
      </c>
      <c r="Y217" s="514">
        <v>0.185</v>
      </c>
      <c r="Z217" s="514">
        <v>0.185</v>
      </c>
      <c r="AA217" s="26"/>
      <c r="AB217" s="514">
        <v>0.185</v>
      </c>
      <c r="AC217" s="514">
        <v>0.185</v>
      </c>
      <c r="AD217" s="514">
        <v>0.185</v>
      </c>
      <c r="AE217" s="514">
        <v>0.185</v>
      </c>
      <c r="AF217" s="514">
        <v>0.185</v>
      </c>
      <c r="AG217" s="26"/>
      <c r="AH217" s="514">
        <v>0.185</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514"/>
      <c r="X218" s="514"/>
      <c r="Y218" s="514"/>
      <c r="Z218" s="514"/>
      <c r="AA218" s="26"/>
      <c r="AB218" s="514"/>
      <c r="AC218" s="514"/>
      <c r="AD218" s="514"/>
      <c r="AE218" s="514"/>
      <c r="AF218" s="514"/>
      <c r="AG218" s="26"/>
      <c r="AH218" s="514"/>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272</v>
      </c>
      <c r="F226" s="23">
        <v>273</v>
      </c>
      <c r="G226" s="23">
        <v>273</v>
      </c>
      <c r="H226" s="23">
        <v>273</v>
      </c>
      <c r="I226" s="41"/>
      <c r="J226" s="41">
        <v>273</v>
      </c>
      <c r="K226" s="23">
        <v>273</v>
      </c>
      <c r="L226" s="23">
        <v>274</v>
      </c>
      <c r="M226" s="23">
        <v>274</v>
      </c>
      <c r="N226" s="23">
        <v>274</v>
      </c>
      <c r="O226" s="41"/>
      <c r="P226" s="41">
        <v>274</v>
      </c>
      <c r="Q226" s="23">
        <v>274</v>
      </c>
      <c r="R226" s="23">
        <v>275</v>
      </c>
      <c r="S226" s="23">
        <v>275</v>
      </c>
      <c r="T226" s="23">
        <v>275</v>
      </c>
      <c r="U226" s="23"/>
      <c r="V226" s="41">
        <v>275</v>
      </c>
      <c r="W226" s="23">
        <v>276</v>
      </c>
      <c r="X226" s="23">
        <v>278</v>
      </c>
      <c r="Y226" s="23">
        <v>279</v>
      </c>
      <c r="Z226" s="23">
        <v>280</v>
      </c>
      <c r="AA226" s="41"/>
      <c r="AB226" s="85">
        <v>280</v>
      </c>
      <c r="AC226" s="23">
        <v>341</v>
      </c>
      <c r="AD226" s="23">
        <v>403</v>
      </c>
      <c r="AE226" s="23">
        <v>464</v>
      </c>
      <c r="AF226" s="23">
        <v>525</v>
      </c>
      <c r="AG226" s="41"/>
      <c r="AH226" s="85">
        <v>525</v>
      </c>
    </row>
    <row r="227" spans="1:34" x14ac:dyDescent="0.2">
      <c r="A227" s="289"/>
      <c r="B227" s="284"/>
      <c r="C227" s="284"/>
      <c r="D227" s="25" t="s">
        <v>32</v>
      </c>
      <c r="E227" s="26">
        <v>6.05</v>
      </c>
      <c r="F227" s="26">
        <v>6.05</v>
      </c>
      <c r="G227" s="26">
        <v>6.05</v>
      </c>
      <c r="H227" s="26">
        <v>6.05</v>
      </c>
      <c r="I227" s="26"/>
      <c r="J227" s="26">
        <v>6.05</v>
      </c>
      <c r="K227" s="26">
        <v>6.05</v>
      </c>
      <c r="L227" s="26">
        <v>6.05</v>
      </c>
      <c r="M227" s="26">
        <v>6.05</v>
      </c>
      <c r="N227" s="26">
        <v>6.05</v>
      </c>
      <c r="O227" s="26"/>
      <c r="P227" s="26">
        <v>6.05</v>
      </c>
      <c r="Q227" s="26">
        <v>6.05</v>
      </c>
      <c r="R227" s="26">
        <v>6.05</v>
      </c>
      <c r="S227" s="26">
        <v>6.05</v>
      </c>
      <c r="T227" s="26">
        <v>6.05</v>
      </c>
      <c r="U227" s="44"/>
      <c r="V227" s="26">
        <v>6.05</v>
      </c>
      <c r="W227" s="26">
        <v>6.05</v>
      </c>
      <c r="X227" s="26">
        <v>6.05</v>
      </c>
      <c r="Y227" s="26">
        <v>6.05</v>
      </c>
      <c r="Z227" s="26">
        <v>6.05</v>
      </c>
      <c r="AA227" s="26"/>
      <c r="AB227" s="26">
        <v>6.05</v>
      </c>
      <c r="AC227" s="26">
        <v>6.05</v>
      </c>
      <c r="AD227" s="26">
        <v>6.05</v>
      </c>
      <c r="AE227" s="26">
        <v>6.05</v>
      </c>
      <c r="AF227" s="26">
        <v>6.05</v>
      </c>
      <c r="AG227" s="26"/>
      <c r="AH227" s="26">
        <v>6.05</v>
      </c>
    </row>
    <row r="228" spans="1:34" ht="15.75" customHeight="1" x14ac:dyDescent="0.2">
      <c r="A228" s="289"/>
      <c r="B228" s="284" t="s">
        <v>46</v>
      </c>
      <c r="C228" s="284"/>
      <c r="D228" s="25" t="s">
        <v>32</v>
      </c>
      <c r="E228" s="26">
        <v>6.05</v>
      </c>
      <c r="F228" s="26">
        <v>6.05</v>
      </c>
      <c r="G228" s="26">
        <v>6.05</v>
      </c>
      <c r="H228" s="26">
        <v>6.05</v>
      </c>
      <c r="I228" s="26"/>
      <c r="J228" s="26">
        <v>6.05</v>
      </c>
      <c r="K228" s="26">
        <v>6.05</v>
      </c>
      <c r="L228" s="26">
        <v>6.05</v>
      </c>
      <c r="M228" s="26">
        <v>6.05</v>
      </c>
      <c r="N228" s="26">
        <v>6.05</v>
      </c>
      <c r="O228" s="26"/>
      <c r="P228" s="26">
        <v>6.05</v>
      </c>
      <c r="Q228" s="26">
        <v>6.05</v>
      </c>
      <c r="R228" s="26">
        <v>6.05</v>
      </c>
      <c r="S228" s="26">
        <v>6.05</v>
      </c>
      <c r="T228" s="26">
        <v>6.05</v>
      </c>
      <c r="U228" s="44"/>
      <c r="V228" s="26">
        <v>6.05</v>
      </c>
      <c r="W228" s="26">
        <v>6.05</v>
      </c>
      <c r="X228" s="26">
        <v>6.05</v>
      </c>
      <c r="Y228" s="26">
        <v>6.05</v>
      </c>
      <c r="Z228" s="26">
        <v>6.05</v>
      </c>
      <c r="AA228" s="26"/>
      <c r="AB228" s="26">
        <v>6.05</v>
      </c>
      <c r="AC228" s="26">
        <v>6.05</v>
      </c>
      <c r="AD228" s="26">
        <v>6.05</v>
      </c>
      <c r="AE228" s="26">
        <v>6.05</v>
      </c>
      <c r="AF228" s="26">
        <v>6.05</v>
      </c>
      <c r="AG228" s="26"/>
      <c r="AH228" s="26">
        <v>6.05</v>
      </c>
    </row>
    <row r="229" spans="1:34" ht="28.5" customHeight="1" x14ac:dyDescent="0.2">
      <c r="A229" s="289"/>
      <c r="B229" s="284"/>
      <c r="C229" s="284"/>
      <c r="D229" s="25" t="s">
        <v>143</v>
      </c>
      <c r="E229" s="41">
        <v>611</v>
      </c>
      <c r="F229" s="41">
        <v>627</v>
      </c>
      <c r="G229" s="41">
        <v>643</v>
      </c>
      <c r="H229" s="23">
        <v>659</v>
      </c>
      <c r="I229" s="41"/>
      <c r="J229" s="41">
        <v>659</v>
      </c>
      <c r="K229" s="47">
        <v>674.87</v>
      </c>
      <c r="L229" s="47">
        <v>690.74</v>
      </c>
      <c r="M229" s="47">
        <v>706.61</v>
      </c>
      <c r="N229" s="47">
        <v>722.48</v>
      </c>
      <c r="O229" s="41"/>
      <c r="P229" s="41">
        <v>722.48</v>
      </c>
      <c r="Q229" s="47">
        <v>746.42250000000001</v>
      </c>
      <c r="R229" s="47">
        <v>770.36500000000001</v>
      </c>
      <c r="S229" s="47">
        <v>794.3075</v>
      </c>
      <c r="T229" s="47">
        <v>818.25</v>
      </c>
      <c r="U229" s="47"/>
      <c r="V229" s="41">
        <v>818.25</v>
      </c>
      <c r="W229" s="47">
        <v>939.88750000000005</v>
      </c>
      <c r="X229" s="47">
        <v>1061.5250000000001</v>
      </c>
      <c r="Y229" s="47">
        <v>1183.1624999999999</v>
      </c>
      <c r="Z229" s="47">
        <v>1304.8</v>
      </c>
      <c r="AA229" s="41"/>
      <c r="AB229" s="41">
        <v>1304.8</v>
      </c>
      <c r="AC229" s="47">
        <v>1319.9549999999999</v>
      </c>
      <c r="AD229" s="47">
        <v>1335.11</v>
      </c>
      <c r="AE229" s="47">
        <v>1350.2650000000001</v>
      </c>
      <c r="AF229" s="47">
        <v>1365.42</v>
      </c>
      <c r="AG229" s="41"/>
      <c r="AH229" s="41">
        <v>1365.42</v>
      </c>
    </row>
    <row r="230" spans="1:34" ht="15.75" customHeight="1" x14ac:dyDescent="0.2">
      <c r="A230" s="289"/>
      <c r="B230" s="284" t="s">
        <v>47</v>
      </c>
      <c r="C230" s="284"/>
      <c r="D230" s="25" t="s">
        <v>32</v>
      </c>
      <c r="E230" s="45">
        <v>9.1</v>
      </c>
      <c r="F230" s="45">
        <v>9.1</v>
      </c>
      <c r="G230" s="45">
        <v>9.1</v>
      </c>
      <c r="H230" s="45">
        <v>9.1</v>
      </c>
      <c r="I230" s="41"/>
      <c r="J230" s="26">
        <v>9.1</v>
      </c>
      <c r="K230" s="26">
        <v>9.1</v>
      </c>
      <c r="L230" s="26">
        <v>9.1</v>
      </c>
      <c r="M230" s="26">
        <v>9.1</v>
      </c>
      <c r="N230" s="26">
        <v>9.1</v>
      </c>
      <c r="O230" s="26"/>
      <c r="P230" s="26">
        <v>9.1</v>
      </c>
      <c r="Q230" s="26">
        <v>9.1</v>
      </c>
      <c r="R230" s="26">
        <v>9.1</v>
      </c>
      <c r="S230" s="26">
        <v>9.1</v>
      </c>
      <c r="T230" s="26">
        <v>9.1</v>
      </c>
      <c r="U230" s="44"/>
      <c r="V230" s="26">
        <v>9.1</v>
      </c>
      <c r="W230" s="26">
        <v>9.1</v>
      </c>
      <c r="X230" s="26">
        <v>9.1</v>
      </c>
      <c r="Y230" s="26">
        <v>9.1</v>
      </c>
      <c r="Z230" s="26">
        <v>9.1</v>
      </c>
      <c r="AA230" s="26"/>
      <c r="AB230" s="26">
        <v>9.1</v>
      </c>
      <c r="AC230" s="26">
        <v>9.1</v>
      </c>
      <c r="AD230" s="26">
        <v>9.1</v>
      </c>
      <c r="AE230" s="26">
        <v>9.1</v>
      </c>
      <c r="AF230" s="26">
        <v>9.1</v>
      </c>
      <c r="AG230" s="26"/>
      <c r="AH230" s="58">
        <v>9.1</v>
      </c>
    </row>
    <row r="231" spans="1:34" x14ac:dyDescent="0.2">
      <c r="A231" s="289"/>
      <c r="B231" s="284"/>
      <c r="C231" s="284"/>
      <c r="D231" s="25" t="s">
        <v>143</v>
      </c>
      <c r="E231" s="41">
        <v>611</v>
      </c>
      <c r="F231" s="41">
        <v>627</v>
      </c>
      <c r="G231" s="41">
        <v>643</v>
      </c>
      <c r="H231" s="23">
        <v>659</v>
      </c>
      <c r="I231" s="41"/>
      <c r="J231" s="41">
        <v>659</v>
      </c>
      <c r="K231" s="47">
        <v>674.87</v>
      </c>
      <c r="L231" s="47">
        <v>690.74</v>
      </c>
      <c r="M231" s="47">
        <v>706.61</v>
      </c>
      <c r="N231" s="47">
        <v>722.48</v>
      </c>
      <c r="O231" s="41"/>
      <c r="P231" s="41">
        <v>722.48</v>
      </c>
      <c r="Q231" s="47">
        <v>746.42250000000001</v>
      </c>
      <c r="R231" s="47">
        <v>770.36500000000001</v>
      </c>
      <c r="S231" s="47">
        <v>794.3075</v>
      </c>
      <c r="T231" s="47">
        <v>818.25</v>
      </c>
      <c r="U231" s="47"/>
      <c r="V231" s="41">
        <v>818.25</v>
      </c>
      <c r="W231" s="47">
        <v>939.88750000000005</v>
      </c>
      <c r="X231" s="47">
        <v>1061.5250000000001</v>
      </c>
      <c r="Y231" s="47">
        <v>1183.1624999999999</v>
      </c>
      <c r="Z231" s="47">
        <v>1304.8</v>
      </c>
      <c r="AA231" s="41"/>
      <c r="AB231" s="41">
        <v>1304.8</v>
      </c>
      <c r="AC231" s="47">
        <v>1319.9549999999999</v>
      </c>
      <c r="AD231" s="47">
        <v>1335.11</v>
      </c>
      <c r="AE231" s="47">
        <v>1350.2650000000001</v>
      </c>
      <c r="AF231" s="47">
        <v>1365.42</v>
      </c>
      <c r="AG231" s="41"/>
      <c r="AH231" s="41">
        <v>1365.42</v>
      </c>
    </row>
    <row r="232" spans="1:34" x14ac:dyDescent="0.2">
      <c r="A232" s="289"/>
      <c r="B232" s="284" t="s">
        <v>36</v>
      </c>
      <c r="C232" s="284"/>
      <c r="D232" s="25" t="s">
        <v>144</v>
      </c>
      <c r="E232" s="23">
        <v>0</v>
      </c>
      <c r="F232" s="23">
        <v>0</v>
      </c>
      <c r="G232" s="23">
        <v>0</v>
      </c>
      <c r="H232" s="23">
        <v>0</v>
      </c>
      <c r="I232" s="41"/>
      <c r="J232" s="41">
        <v>0</v>
      </c>
      <c r="K232" s="41">
        <v>0</v>
      </c>
      <c r="L232" s="41">
        <v>0</v>
      </c>
      <c r="M232" s="41">
        <v>0</v>
      </c>
      <c r="N232" s="41">
        <v>0</v>
      </c>
      <c r="O232" s="41"/>
      <c r="P232" s="41">
        <v>0</v>
      </c>
      <c r="Q232" s="41">
        <v>0</v>
      </c>
      <c r="R232" s="41">
        <v>0</v>
      </c>
      <c r="S232" s="41">
        <v>0</v>
      </c>
      <c r="T232" s="41">
        <v>0</v>
      </c>
      <c r="U232" s="41"/>
      <c r="V232" s="41">
        <v>0</v>
      </c>
      <c r="W232" s="23">
        <v>131</v>
      </c>
      <c r="X232" s="23">
        <v>263</v>
      </c>
      <c r="Y232" s="23">
        <v>394</v>
      </c>
      <c r="Z232" s="23">
        <v>525</v>
      </c>
      <c r="AA232" s="41"/>
      <c r="AB232" s="41">
        <v>525</v>
      </c>
      <c r="AC232" s="23">
        <v>524</v>
      </c>
      <c r="AD232" s="23">
        <v>524</v>
      </c>
      <c r="AE232" s="23">
        <v>525</v>
      </c>
      <c r="AF232" s="23">
        <v>525</v>
      </c>
      <c r="AG232" s="41"/>
      <c r="AH232" s="41">
        <v>525</v>
      </c>
    </row>
    <row r="233" spans="1:34" x14ac:dyDescent="0.2">
      <c r="A233" s="289"/>
      <c r="B233" s="284"/>
      <c r="C233" s="284"/>
      <c r="D233" s="25" t="s">
        <v>32</v>
      </c>
      <c r="E233" s="23">
        <v>0</v>
      </c>
      <c r="F233" s="23">
        <v>0</v>
      </c>
      <c r="G233" s="23">
        <v>0</v>
      </c>
      <c r="H233" s="23">
        <v>0</v>
      </c>
      <c r="I233" s="41"/>
      <c r="J233" s="41">
        <v>0</v>
      </c>
      <c r="K233" s="41">
        <v>0</v>
      </c>
      <c r="L233" s="41">
        <v>0</v>
      </c>
      <c r="M233" s="41">
        <v>0</v>
      </c>
      <c r="N233" s="41">
        <v>0</v>
      </c>
      <c r="O233" s="41"/>
      <c r="P233" s="41">
        <v>0</v>
      </c>
      <c r="Q233" s="41">
        <v>0</v>
      </c>
      <c r="R233" s="41">
        <v>0</v>
      </c>
      <c r="S233" s="41">
        <v>0</v>
      </c>
      <c r="T233" s="41">
        <v>0</v>
      </c>
      <c r="U233" s="41"/>
      <c r="V233" s="41">
        <v>0</v>
      </c>
      <c r="W233" s="23">
        <v>17.86</v>
      </c>
      <c r="X233" s="23">
        <v>17.86</v>
      </c>
      <c r="Y233" s="23">
        <v>17.86</v>
      </c>
      <c r="Z233" s="23">
        <v>17.86</v>
      </c>
      <c r="AA233" s="41"/>
      <c r="AB233" s="26">
        <v>17.855</v>
      </c>
      <c r="AC233" s="26">
        <v>17.855</v>
      </c>
      <c r="AD233" s="26">
        <v>17.855</v>
      </c>
      <c r="AE233" s="26">
        <v>17.855</v>
      </c>
      <c r="AF233" s="26">
        <v>17.855</v>
      </c>
      <c r="AG233" s="41"/>
      <c r="AH233" s="26">
        <v>17.855</v>
      </c>
    </row>
    <row r="234" spans="1:34" x14ac:dyDescent="0.2">
      <c r="A234" s="289"/>
      <c r="B234" s="284" t="s">
        <v>48</v>
      </c>
      <c r="C234" s="284"/>
      <c r="D234" s="24" t="s">
        <v>143</v>
      </c>
      <c r="E234" s="19">
        <v>0</v>
      </c>
      <c r="F234" s="19">
        <v>0</v>
      </c>
      <c r="G234" s="19">
        <v>0</v>
      </c>
      <c r="H234" s="19">
        <v>0</v>
      </c>
      <c r="I234" s="41"/>
      <c r="J234" s="23">
        <v>0</v>
      </c>
      <c r="K234" s="23">
        <v>0</v>
      </c>
      <c r="L234" s="23">
        <v>0</v>
      </c>
      <c r="M234" s="23">
        <v>0</v>
      </c>
      <c r="N234" s="23">
        <v>0</v>
      </c>
      <c r="O234" s="41"/>
      <c r="P234" s="41">
        <v>0</v>
      </c>
      <c r="Q234" s="41">
        <v>0</v>
      </c>
      <c r="R234" s="41">
        <v>0</v>
      </c>
      <c r="S234" s="41">
        <v>0</v>
      </c>
      <c r="T234" s="41">
        <v>0</v>
      </c>
      <c r="U234" s="41"/>
      <c r="V234" s="41">
        <v>0</v>
      </c>
      <c r="W234" s="47">
        <v>163.1</v>
      </c>
      <c r="X234" s="47">
        <v>326.2</v>
      </c>
      <c r="Y234" s="47">
        <v>489.3</v>
      </c>
      <c r="Z234" s="47">
        <v>652.4</v>
      </c>
      <c r="AA234" s="41"/>
      <c r="AB234" s="41">
        <v>652.4</v>
      </c>
      <c r="AC234" s="47">
        <v>830.65499999999997</v>
      </c>
      <c r="AD234" s="47">
        <v>1008.91</v>
      </c>
      <c r="AE234" s="47">
        <v>1187.165</v>
      </c>
      <c r="AF234" s="47">
        <v>1365.42</v>
      </c>
      <c r="AG234" s="41"/>
      <c r="AH234" s="41">
        <v>1365.42</v>
      </c>
    </row>
    <row r="235" spans="1:34" x14ac:dyDescent="0.2">
      <c r="A235" s="289"/>
      <c r="B235" s="284"/>
      <c r="C235" s="284"/>
      <c r="D235" s="24" t="s">
        <v>143</v>
      </c>
      <c r="E235" s="23">
        <f>3306-11</f>
        <v>3295</v>
      </c>
      <c r="F235" s="23">
        <f>3306-11</f>
        <v>3295</v>
      </c>
      <c r="G235" s="23">
        <f>3306-11</f>
        <v>3295</v>
      </c>
      <c r="H235" s="23">
        <f>3306-11</f>
        <v>3295</v>
      </c>
      <c r="I235" s="41"/>
      <c r="J235" s="23">
        <f>3306-11</f>
        <v>3295</v>
      </c>
      <c r="K235" s="41">
        <f>E235-11</f>
        <v>3284</v>
      </c>
      <c r="L235" s="41">
        <f>F235-11</f>
        <v>3284</v>
      </c>
      <c r="M235" s="41">
        <f>G235-11</f>
        <v>3284</v>
      </c>
      <c r="N235" s="41">
        <f>H235-11</f>
        <v>3284</v>
      </c>
      <c r="O235" s="41"/>
      <c r="P235" s="41">
        <f>J235-11</f>
        <v>3284</v>
      </c>
      <c r="Q235" s="23">
        <v>3273</v>
      </c>
      <c r="R235" s="23">
        <v>3273</v>
      </c>
      <c r="S235" s="23">
        <v>3273</v>
      </c>
      <c r="T235" s="23">
        <v>3273</v>
      </c>
      <c r="U235" s="41"/>
      <c r="V235" s="41">
        <f>P235-11</f>
        <v>3273</v>
      </c>
      <c r="W235" s="23">
        <v>3262</v>
      </c>
      <c r="X235" s="23">
        <v>3262</v>
      </c>
      <c r="Y235" s="23">
        <v>3262</v>
      </c>
      <c r="Z235" s="23">
        <v>3262</v>
      </c>
      <c r="AA235" s="41"/>
      <c r="AB235" s="41">
        <f>V235-11</f>
        <v>3262</v>
      </c>
      <c r="AC235" s="23">
        <v>3251</v>
      </c>
      <c r="AD235" s="23">
        <v>3251</v>
      </c>
      <c r="AE235" s="23">
        <v>3251</v>
      </c>
      <c r="AF235" s="23">
        <v>3251</v>
      </c>
      <c r="AG235" s="41"/>
      <c r="AH235" s="41">
        <f>AB235-11</f>
        <v>3251</v>
      </c>
    </row>
    <row r="236" spans="1:34" x14ac:dyDescent="0.2">
      <c r="A236" s="17">
        <v>3.2</v>
      </c>
      <c r="B236" s="448" t="s">
        <v>37</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887">
    <mergeCell ref="J253:J254"/>
    <mergeCell ref="P253:P254"/>
    <mergeCell ref="V253:V254"/>
    <mergeCell ref="AB253:AB254"/>
    <mergeCell ref="AH253:AH254"/>
    <mergeCell ref="AB213:AB214"/>
    <mergeCell ref="J249:J250"/>
    <mergeCell ref="P249:P250"/>
    <mergeCell ref="V249:V250"/>
    <mergeCell ref="AB249:AB250"/>
    <mergeCell ref="AH249:AH250"/>
    <mergeCell ref="J251:J252"/>
    <mergeCell ref="P251:P252"/>
    <mergeCell ref="V251:V252"/>
    <mergeCell ref="AB251:AB252"/>
    <mergeCell ref="AH251:AH252"/>
    <mergeCell ref="K251:K252"/>
    <mergeCell ref="L251:L252"/>
    <mergeCell ref="M251:M252"/>
    <mergeCell ref="N251:N252"/>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K239:K240"/>
    <mergeCell ref="L239:L240"/>
    <mergeCell ref="M239:M240"/>
    <mergeCell ref="N239:N240"/>
    <mergeCell ref="K241:K242"/>
    <mergeCell ref="L241:L242"/>
    <mergeCell ref="M241:M242"/>
    <mergeCell ref="N241:N242"/>
    <mergeCell ref="K243:K244"/>
    <mergeCell ref="L243:L244"/>
    <mergeCell ref="M243:M244"/>
    <mergeCell ref="N243:N244"/>
    <mergeCell ref="R243:R244"/>
    <mergeCell ref="AE239:AE240"/>
    <mergeCell ref="M222:N222"/>
    <mergeCell ref="S222:T222"/>
    <mergeCell ref="Y222:Z222"/>
    <mergeCell ref="AE222:AF222"/>
    <mergeCell ref="D215:D216"/>
    <mergeCell ref="J215:J216"/>
    <mergeCell ref="P215:P216"/>
    <mergeCell ref="V215:V216"/>
    <mergeCell ref="AB215:AB216"/>
    <mergeCell ref="AH215:AH216"/>
    <mergeCell ref="K215:K216"/>
    <mergeCell ref="L215:L216"/>
    <mergeCell ref="M215:M216"/>
    <mergeCell ref="N215:N216"/>
    <mergeCell ref="W217:W218"/>
    <mergeCell ref="X217:X218"/>
    <mergeCell ref="Y217:Y218"/>
    <mergeCell ref="Z217:Z218"/>
    <mergeCell ref="E217:E218"/>
    <mergeCell ref="F217:F218"/>
    <mergeCell ref="G217:G218"/>
    <mergeCell ref="H217:H218"/>
    <mergeCell ref="S217:S218"/>
    <mergeCell ref="T217:T218"/>
    <mergeCell ref="K217:K218"/>
    <mergeCell ref="L217:L218"/>
    <mergeCell ref="AH210:AH211"/>
    <mergeCell ref="D213:D214"/>
    <mergeCell ref="J213:J214"/>
    <mergeCell ref="P213:P214"/>
    <mergeCell ref="V213:V214"/>
    <mergeCell ref="AH213:AH214"/>
    <mergeCell ref="K213:K214"/>
    <mergeCell ref="L213:L214"/>
    <mergeCell ref="M213:M214"/>
    <mergeCell ref="N213:N214"/>
    <mergeCell ref="J208:J209"/>
    <mergeCell ref="P208:P209"/>
    <mergeCell ref="V208:V209"/>
    <mergeCell ref="AB208:AB209"/>
    <mergeCell ref="AH208:AH209"/>
    <mergeCell ref="D210:D211"/>
    <mergeCell ref="J210:J211"/>
    <mergeCell ref="P210:P211"/>
    <mergeCell ref="V210:V211"/>
    <mergeCell ref="AB210:AB211"/>
    <mergeCell ref="E208:E209"/>
    <mergeCell ref="F208:F209"/>
    <mergeCell ref="G208:G209"/>
    <mergeCell ref="H208:H209"/>
    <mergeCell ref="E210:E211"/>
    <mergeCell ref="F210:F211"/>
    <mergeCell ref="G210:G211"/>
    <mergeCell ref="H210:H211"/>
    <mergeCell ref="K208:K209"/>
    <mergeCell ref="L208:L209"/>
    <mergeCell ref="M208:M209"/>
    <mergeCell ref="N208:N209"/>
    <mergeCell ref="D206:D207"/>
    <mergeCell ref="J206:J207"/>
    <mergeCell ref="P206:P207"/>
    <mergeCell ref="V206:V207"/>
    <mergeCell ref="AB206:AB207"/>
    <mergeCell ref="AH206:AH207"/>
    <mergeCell ref="E206:E207"/>
    <mergeCell ref="F206:F207"/>
    <mergeCell ref="G206:G207"/>
    <mergeCell ref="H206:H207"/>
    <mergeCell ref="D204:D205"/>
    <mergeCell ref="J204:J205"/>
    <mergeCell ref="P204:P205"/>
    <mergeCell ref="V204:V205"/>
    <mergeCell ref="AB204:AB205"/>
    <mergeCell ref="AH204:AH205"/>
    <mergeCell ref="E204:E205"/>
    <mergeCell ref="F204:F205"/>
    <mergeCell ref="G204:G205"/>
    <mergeCell ref="H204:H205"/>
    <mergeCell ref="K206:K207"/>
    <mergeCell ref="L206:L207"/>
    <mergeCell ref="M206:M207"/>
    <mergeCell ref="N206:N207"/>
    <mergeCell ref="D202:D203"/>
    <mergeCell ref="J202:J203"/>
    <mergeCell ref="P202:P203"/>
    <mergeCell ref="V202:V203"/>
    <mergeCell ref="AB202:AB203"/>
    <mergeCell ref="AH202:AH203"/>
    <mergeCell ref="E202:E203"/>
    <mergeCell ref="F202:F203"/>
    <mergeCell ref="G202:G203"/>
    <mergeCell ref="H202:H203"/>
    <mergeCell ref="J198:J199"/>
    <mergeCell ref="P198:P199"/>
    <mergeCell ref="V198:V199"/>
    <mergeCell ref="AB198:AB199"/>
    <mergeCell ref="AH198:AH199"/>
    <mergeCell ref="J200:J201"/>
    <mergeCell ref="P200:P201"/>
    <mergeCell ref="V200:V201"/>
    <mergeCell ref="AB200:AB201"/>
    <mergeCell ref="AH200:AH201"/>
    <mergeCell ref="E198:E199"/>
    <mergeCell ref="F198:F199"/>
    <mergeCell ref="G198:G199"/>
    <mergeCell ref="H198:H199"/>
    <mergeCell ref="E200:E201"/>
    <mergeCell ref="F200:F201"/>
    <mergeCell ref="G200:G201"/>
    <mergeCell ref="H200:H201"/>
    <mergeCell ref="D196:D197"/>
    <mergeCell ref="J196:J197"/>
    <mergeCell ref="P196:P197"/>
    <mergeCell ref="V196:V197"/>
    <mergeCell ref="AB196:AB197"/>
    <mergeCell ref="AH196:AH197"/>
    <mergeCell ref="E196:E197"/>
    <mergeCell ref="F196:F197"/>
    <mergeCell ref="G196:G197"/>
    <mergeCell ref="H196:H197"/>
    <mergeCell ref="J190:J191"/>
    <mergeCell ref="P190:P191"/>
    <mergeCell ref="V190:V191"/>
    <mergeCell ref="AB190:AB191"/>
    <mergeCell ref="AH190:AH191"/>
    <mergeCell ref="J192:J193"/>
    <mergeCell ref="P192:P193"/>
    <mergeCell ref="V192:V193"/>
    <mergeCell ref="AB192:AB193"/>
    <mergeCell ref="AH192:AH193"/>
    <mergeCell ref="Q190:Q191"/>
    <mergeCell ref="R190:R191"/>
    <mergeCell ref="S190:S191"/>
    <mergeCell ref="T190:T191"/>
    <mergeCell ref="Q192:Q193"/>
    <mergeCell ref="R192:R193"/>
    <mergeCell ref="S192:S193"/>
    <mergeCell ref="T192:T193"/>
    <mergeCell ref="W190:W191"/>
    <mergeCell ref="X190:X191"/>
    <mergeCell ref="Y190:Y191"/>
    <mergeCell ref="Z190:Z191"/>
    <mergeCell ref="J185:J186"/>
    <mergeCell ref="P185:P186"/>
    <mergeCell ref="V185:V186"/>
    <mergeCell ref="AB185:AB186"/>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W183:W184"/>
    <mergeCell ref="X183:X184"/>
    <mergeCell ref="Y183:Y184"/>
    <mergeCell ref="Z183:Z184"/>
    <mergeCell ref="W185:W186"/>
    <mergeCell ref="X185:X186"/>
    <mergeCell ref="Y185:Y186"/>
    <mergeCell ref="Z185:Z186"/>
    <mergeCell ref="W187:W188"/>
    <mergeCell ref="X187:X188"/>
    <mergeCell ref="Y187:Y188"/>
    <mergeCell ref="Z187:Z188"/>
    <mergeCell ref="J177:J178"/>
    <mergeCell ref="P177:P178"/>
    <mergeCell ref="V177:V178"/>
    <mergeCell ref="AB177:AB17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Q173:Q174"/>
    <mergeCell ref="R173:R174"/>
    <mergeCell ref="S173:S174"/>
    <mergeCell ref="T173:T174"/>
    <mergeCell ref="Q175:Q176"/>
    <mergeCell ref="R175:R176"/>
    <mergeCell ref="S175:S176"/>
    <mergeCell ref="T175:T176"/>
    <mergeCell ref="Q177:Q178"/>
    <mergeCell ref="R177:R178"/>
    <mergeCell ref="S177:S178"/>
    <mergeCell ref="T177:T178"/>
    <mergeCell ref="J169:J170"/>
    <mergeCell ref="P169:P170"/>
    <mergeCell ref="V169:V170"/>
    <mergeCell ref="AB169:AB17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Q157:Q158"/>
    <mergeCell ref="R157:R158"/>
    <mergeCell ref="S157:S158"/>
    <mergeCell ref="T157:T158"/>
    <mergeCell ref="Q159:Q160"/>
    <mergeCell ref="R159:R160"/>
    <mergeCell ref="S159:S160"/>
    <mergeCell ref="T159:T160"/>
    <mergeCell ref="Q161:Q162"/>
    <mergeCell ref="R161:R162"/>
    <mergeCell ref="S161:S162"/>
    <mergeCell ref="T161:T162"/>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Q150:Q151"/>
    <mergeCell ref="R150:R151"/>
    <mergeCell ref="S150:S151"/>
    <mergeCell ref="T150:T151"/>
    <mergeCell ref="Q153:Q154"/>
    <mergeCell ref="R153:R154"/>
    <mergeCell ref="S153:S154"/>
    <mergeCell ref="T153:T154"/>
    <mergeCell ref="Q155:Q156"/>
    <mergeCell ref="R155:R156"/>
    <mergeCell ref="S155:S156"/>
    <mergeCell ref="T155:T156"/>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M139:M140"/>
    <mergeCell ref="N139:N140"/>
    <mergeCell ref="K141:K142"/>
    <mergeCell ref="L141:L142"/>
    <mergeCell ref="M141:M142"/>
    <mergeCell ref="N141:N142"/>
    <mergeCell ref="Q137:Q138"/>
    <mergeCell ref="R137:R138"/>
    <mergeCell ref="S137:S138"/>
    <mergeCell ref="T137:T138"/>
    <mergeCell ref="Q139:Q140"/>
    <mergeCell ref="R139:R140"/>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Q131:Q132"/>
    <mergeCell ref="R131:R132"/>
    <mergeCell ref="S131:S132"/>
    <mergeCell ref="T131:T132"/>
    <mergeCell ref="Q133:Q134"/>
    <mergeCell ref="R133:R134"/>
    <mergeCell ref="S133:S134"/>
    <mergeCell ref="T133:T134"/>
    <mergeCell ref="Q135:Q136"/>
    <mergeCell ref="R135:R136"/>
    <mergeCell ref="S135:S136"/>
    <mergeCell ref="T135:T136"/>
    <mergeCell ref="P122:P123"/>
    <mergeCell ref="V122:V123"/>
    <mergeCell ref="AB122:AB123"/>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M118:M119"/>
    <mergeCell ref="N118:N119"/>
    <mergeCell ref="M120:M121"/>
    <mergeCell ref="N120:N121"/>
    <mergeCell ref="M122:M123"/>
    <mergeCell ref="N122:N123"/>
    <mergeCell ref="Q118:Q119"/>
    <mergeCell ref="R118:R119"/>
    <mergeCell ref="S118:S119"/>
    <mergeCell ref="T118:T119"/>
    <mergeCell ref="Q120:Q121"/>
    <mergeCell ref="R120:R121"/>
    <mergeCell ref="P114:P115"/>
    <mergeCell ref="V114:V115"/>
    <mergeCell ref="AB114:AB115"/>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S110:S111"/>
    <mergeCell ref="T110:T111"/>
    <mergeCell ref="Q112:Q113"/>
    <mergeCell ref="R112:R113"/>
    <mergeCell ref="S112:S113"/>
    <mergeCell ref="T112:T113"/>
    <mergeCell ref="S114:S115"/>
    <mergeCell ref="T114:T115"/>
    <mergeCell ref="Q116:Q117"/>
    <mergeCell ref="R116:R117"/>
    <mergeCell ref="S116:S117"/>
    <mergeCell ref="T116:T117"/>
    <mergeCell ref="P104:P105"/>
    <mergeCell ref="V104:V105"/>
    <mergeCell ref="AB104:AB105"/>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L100:L101"/>
    <mergeCell ref="L102:L103"/>
    <mergeCell ref="L104:L105"/>
    <mergeCell ref="L106:L107"/>
    <mergeCell ref="M100:M101"/>
    <mergeCell ref="M102:M103"/>
    <mergeCell ref="M104:M105"/>
    <mergeCell ref="M106:M107"/>
    <mergeCell ref="N100:N101"/>
    <mergeCell ref="N102:N103"/>
    <mergeCell ref="N104:N105"/>
    <mergeCell ref="N106:N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H96:H97"/>
    <mergeCell ref="E98:E99"/>
    <mergeCell ref="F98:F99"/>
    <mergeCell ref="G98:G99"/>
    <mergeCell ref="H98:H99"/>
    <mergeCell ref="L96:L97"/>
    <mergeCell ref="L98:L99"/>
    <mergeCell ref="M96:M97"/>
    <mergeCell ref="M98:M99"/>
    <mergeCell ref="N96:N97"/>
    <mergeCell ref="N98:N99"/>
    <mergeCell ref="Q96:Q97"/>
    <mergeCell ref="J89:J90"/>
    <mergeCell ref="P89:P90"/>
    <mergeCell ref="V89:V90"/>
    <mergeCell ref="AB89:AB90"/>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K85:K86"/>
    <mergeCell ref="L85:L86"/>
    <mergeCell ref="M85:M86"/>
    <mergeCell ref="N85:N86"/>
    <mergeCell ref="K87:K88"/>
    <mergeCell ref="L87:L88"/>
    <mergeCell ref="M87:M88"/>
    <mergeCell ref="N87:N88"/>
    <mergeCell ref="K89:K90"/>
    <mergeCell ref="L89:L90"/>
    <mergeCell ref="M89:M90"/>
    <mergeCell ref="N89:N90"/>
    <mergeCell ref="AB78:AB79"/>
    <mergeCell ref="AH78:AH79"/>
    <mergeCell ref="J83:J84"/>
    <mergeCell ref="P83:P84"/>
    <mergeCell ref="V83:V84"/>
    <mergeCell ref="AB83:AB84"/>
    <mergeCell ref="AH83:AH84"/>
    <mergeCell ref="D74:D75"/>
    <mergeCell ref="J74:J75"/>
    <mergeCell ref="P74:P75"/>
    <mergeCell ref="V74:V75"/>
    <mergeCell ref="AB74:AB75"/>
    <mergeCell ref="AH74:AH75"/>
    <mergeCell ref="K74:K75"/>
    <mergeCell ref="L74:L75"/>
    <mergeCell ref="M74:M75"/>
    <mergeCell ref="N74:N75"/>
    <mergeCell ref="D78:D79"/>
    <mergeCell ref="D83:D84"/>
    <mergeCell ref="Q74:Q75"/>
    <mergeCell ref="R74:R75"/>
    <mergeCell ref="S74:S75"/>
    <mergeCell ref="T74:T75"/>
    <mergeCell ref="Q78:Q79"/>
    <mergeCell ref="R78:R79"/>
    <mergeCell ref="S78:S79"/>
    <mergeCell ref="T78:T79"/>
    <mergeCell ref="W74:W75"/>
    <mergeCell ref="X74:X75"/>
    <mergeCell ref="P71:P72"/>
    <mergeCell ref="V71:V72"/>
    <mergeCell ref="AB71:AB72"/>
    <mergeCell ref="AH71:AH72"/>
    <mergeCell ref="AC71:AC72"/>
    <mergeCell ref="AD71:AD72"/>
    <mergeCell ref="AE71:AE72"/>
    <mergeCell ref="AF71:AF72"/>
    <mergeCell ref="D69:D70"/>
    <mergeCell ref="J69:J70"/>
    <mergeCell ref="P69:P70"/>
    <mergeCell ref="V69:V70"/>
    <mergeCell ref="AB69:AB70"/>
    <mergeCell ref="AH69:AH70"/>
    <mergeCell ref="AC69:AC70"/>
    <mergeCell ref="AD69:AD70"/>
    <mergeCell ref="AE69:AE70"/>
    <mergeCell ref="AF69:AF70"/>
    <mergeCell ref="W69:W70"/>
    <mergeCell ref="X69:X70"/>
    <mergeCell ref="Y69:Y70"/>
    <mergeCell ref="Z69:Z70"/>
    <mergeCell ref="W71:W72"/>
    <mergeCell ref="X71:X72"/>
    <mergeCell ref="Y71:Y72"/>
    <mergeCell ref="Z71:Z72"/>
    <mergeCell ref="Q69:Q70"/>
    <mergeCell ref="R69:R70"/>
    <mergeCell ref="S69:S70"/>
    <mergeCell ref="T69:T70"/>
    <mergeCell ref="J67:J68"/>
    <mergeCell ref="P67:P68"/>
    <mergeCell ref="V67:V68"/>
    <mergeCell ref="AB67:AB68"/>
    <mergeCell ref="AH67:AH68"/>
    <mergeCell ref="AC67:AC68"/>
    <mergeCell ref="AD67:AD68"/>
    <mergeCell ref="AE67:AE68"/>
    <mergeCell ref="AF67:AF68"/>
    <mergeCell ref="D65:D66"/>
    <mergeCell ref="J65:J66"/>
    <mergeCell ref="P65:P66"/>
    <mergeCell ref="V65:V66"/>
    <mergeCell ref="AB65:AB66"/>
    <mergeCell ref="AH65:AH66"/>
    <mergeCell ref="AC65:AC66"/>
    <mergeCell ref="AD65:AD66"/>
    <mergeCell ref="AE65:AE66"/>
    <mergeCell ref="AF65:AF66"/>
    <mergeCell ref="J63:J64"/>
    <mergeCell ref="P63:P64"/>
    <mergeCell ref="V63:V64"/>
    <mergeCell ref="AB63:AB64"/>
    <mergeCell ref="AH63:AH64"/>
    <mergeCell ref="AC63:AC64"/>
    <mergeCell ref="AD63:AD64"/>
    <mergeCell ref="AE63:AE64"/>
    <mergeCell ref="AF63:AF64"/>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C59:AC60"/>
    <mergeCell ref="AD59:AD60"/>
    <mergeCell ref="AE59:AE60"/>
    <mergeCell ref="AF59:AF60"/>
    <mergeCell ref="AC61:AC62"/>
    <mergeCell ref="AD61:AD62"/>
    <mergeCell ref="AE61:AE62"/>
    <mergeCell ref="AF61:AF62"/>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K56:K57"/>
    <mergeCell ref="L56:L57"/>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K50:K51"/>
    <mergeCell ref="L50:L51"/>
    <mergeCell ref="AH46:AH47"/>
    <mergeCell ref="D48:D49"/>
    <mergeCell ref="I48:I49"/>
    <mergeCell ref="J48:J49"/>
    <mergeCell ref="P48:P49"/>
    <mergeCell ref="V48:V49"/>
    <mergeCell ref="AB48:AB49"/>
    <mergeCell ref="AH48:AH49"/>
    <mergeCell ref="D46:D47"/>
    <mergeCell ref="I46:I47"/>
    <mergeCell ref="J46:J47"/>
    <mergeCell ref="P46:P47"/>
    <mergeCell ref="V46:V47"/>
    <mergeCell ref="AB46:AB47"/>
    <mergeCell ref="K48:K49"/>
    <mergeCell ref="L48:L49"/>
    <mergeCell ref="AH42:AH43"/>
    <mergeCell ref="D44:D45"/>
    <mergeCell ref="I44:I45"/>
    <mergeCell ref="J44:J45"/>
    <mergeCell ref="P44:P45"/>
    <mergeCell ref="V44:V45"/>
    <mergeCell ref="AB44:AB45"/>
    <mergeCell ref="AH44:AH45"/>
    <mergeCell ref="D42:D43"/>
    <mergeCell ref="I42:I43"/>
    <mergeCell ref="J42:J43"/>
    <mergeCell ref="P42:P43"/>
    <mergeCell ref="V42:V43"/>
    <mergeCell ref="AB42:AB43"/>
    <mergeCell ref="M48:M49"/>
    <mergeCell ref="N48:N49"/>
    <mergeCell ref="AH37:AH38"/>
    <mergeCell ref="D40:D41"/>
    <mergeCell ref="I40:I41"/>
    <mergeCell ref="J40:J41"/>
    <mergeCell ref="P40:P41"/>
    <mergeCell ref="V40:V41"/>
    <mergeCell ref="T35:T36"/>
    <mergeCell ref="AB35:AB36"/>
    <mergeCell ref="AH35:AH36"/>
    <mergeCell ref="AB40:AB41"/>
    <mergeCell ref="AH40:AH41"/>
    <mergeCell ref="D37:D38"/>
    <mergeCell ref="J37:J38"/>
    <mergeCell ref="O37:O38"/>
    <mergeCell ref="P37:P38"/>
    <mergeCell ref="V37:V38"/>
    <mergeCell ref="AH33:AH34"/>
    <mergeCell ref="D35:D36"/>
    <mergeCell ref="I35:I36"/>
    <mergeCell ref="J35:J36"/>
    <mergeCell ref="O35:O36"/>
    <mergeCell ref="P35:P36"/>
    <mergeCell ref="V35:V36"/>
    <mergeCell ref="Q35:Q36"/>
    <mergeCell ref="R35:R36"/>
    <mergeCell ref="S35:S36"/>
    <mergeCell ref="E33:E34"/>
    <mergeCell ref="F33:F34"/>
    <mergeCell ref="G33:G34"/>
    <mergeCell ref="H33:H34"/>
    <mergeCell ref="K33:K34"/>
    <mergeCell ref="L33:L34"/>
    <mergeCell ref="H31:H32"/>
    <mergeCell ref="AB31:AB32"/>
    <mergeCell ref="AH31:AH32"/>
    <mergeCell ref="D33:D34"/>
    <mergeCell ref="I33:I34"/>
    <mergeCell ref="J33:J34"/>
    <mergeCell ref="O33:O34"/>
    <mergeCell ref="P33:P34"/>
    <mergeCell ref="V33:V34"/>
    <mergeCell ref="AB33:AB34"/>
    <mergeCell ref="AH29:AH30"/>
    <mergeCell ref="D31:D32"/>
    <mergeCell ref="I31:I32"/>
    <mergeCell ref="J31:J32"/>
    <mergeCell ref="O31:O32"/>
    <mergeCell ref="P31:P32"/>
    <mergeCell ref="V31:V32"/>
    <mergeCell ref="E31:E32"/>
    <mergeCell ref="F31:F32"/>
    <mergeCell ref="G31:G32"/>
    <mergeCell ref="E29:E30"/>
    <mergeCell ref="F29:F30"/>
    <mergeCell ref="G29:G30"/>
    <mergeCell ref="H29:H30"/>
    <mergeCell ref="K29:K30"/>
    <mergeCell ref="L29:L30"/>
    <mergeCell ref="M29:M30"/>
    <mergeCell ref="N29:N30"/>
    <mergeCell ref="Q29:Q30"/>
    <mergeCell ref="R29:R30"/>
    <mergeCell ref="S29:S30"/>
    <mergeCell ref="T29:T30"/>
    <mergeCell ref="AB27:AB28"/>
    <mergeCell ref="AH27:AH28"/>
    <mergeCell ref="D29:D30"/>
    <mergeCell ref="I29:I30"/>
    <mergeCell ref="J29:J30"/>
    <mergeCell ref="O29:O30"/>
    <mergeCell ref="P29:P30"/>
    <mergeCell ref="V29:V30"/>
    <mergeCell ref="AB29:AB30"/>
    <mergeCell ref="AH25:AH26"/>
    <mergeCell ref="D27:D28"/>
    <mergeCell ref="I27:I28"/>
    <mergeCell ref="J27:J28"/>
    <mergeCell ref="O27:O28"/>
    <mergeCell ref="P27:P28"/>
    <mergeCell ref="V27:V28"/>
    <mergeCell ref="Q27:Q28"/>
    <mergeCell ref="R27:R28"/>
    <mergeCell ref="S27:S28"/>
    <mergeCell ref="E25:E26"/>
    <mergeCell ref="F25:F26"/>
    <mergeCell ref="G25:G26"/>
    <mergeCell ref="H25:H26"/>
    <mergeCell ref="K25:K26"/>
    <mergeCell ref="L25:L26"/>
    <mergeCell ref="M25:M26"/>
    <mergeCell ref="N25:N26"/>
    <mergeCell ref="Q25:Q26"/>
    <mergeCell ref="R25:R26"/>
    <mergeCell ref="S25:S26"/>
    <mergeCell ref="T25:T26"/>
    <mergeCell ref="G23:G24"/>
    <mergeCell ref="H23:H24"/>
    <mergeCell ref="AB23:AB24"/>
    <mergeCell ref="AH23:AH24"/>
    <mergeCell ref="D25:D26"/>
    <mergeCell ref="I25:I26"/>
    <mergeCell ref="J25:J26"/>
    <mergeCell ref="O25:O26"/>
    <mergeCell ref="P25:P26"/>
    <mergeCell ref="V25:V26"/>
    <mergeCell ref="AH21:AH22"/>
    <mergeCell ref="I19:I20"/>
    <mergeCell ref="D23:D24"/>
    <mergeCell ref="I23:I24"/>
    <mergeCell ref="J23:J24"/>
    <mergeCell ref="O23:O24"/>
    <mergeCell ref="P23:P24"/>
    <mergeCell ref="V23:V24"/>
    <mergeCell ref="E23:E24"/>
    <mergeCell ref="F23:F24"/>
    <mergeCell ref="D21:D22"/>
    <mergeCell ref="I21:I22"/>
    <mergeCell ref="J21:J22"/>
    <mergeCell ref="O21:O22"/>
    <mergeCell ref="P21:P22"/>
    <mergeCell ref="V21:V22"/>
    <mergeCell ref="AB19:AB20"/>
    <mergeCell ref="E21:E22"/>
    <mergeCell ref="F21:F22"/>
    <mergeCell ref="G21:G22"/>
    <mergeCell ref="H21:H22"/>
    <mergeCell ref="K21:K22"/>
    <mergeCell ref="AH15:AH16"/>
    <mergeCell ref="AB17:AB18"/>
    <mergeCell ref="AH17:AH18"/>
    <mergeCell ref="Q15:Q16"/>
    <mergeCell ref="R15:R16"/>
    <mergeCell ref="AH19:AH20"/>
    <mergeCell ref="V17:V18"/>
    <mergeCell ref="R17:R18"/>
    <mergeCell ref="S17:S18"/>
    <mergeCell ref="T17:T18"/>
    <mergeCell ref="U17:U18"/>
    <mergeCell ref="J19:J20"/>
    <mergeCell ref="O19:O20"/>
    <mergeCell ref="P19:P20"/>
    <mergeCell ref="V19:V20"/>
    <mergeCell ref="N15:N16"/>
    <mergeCell ref="D17:D18"/>
    <mergeCell ref="I17:I18"/>
    <mergeCell ref="J17:J18"/>
    <mergeCell ref="O17:O18"/>
    <mergeCell ref="P17:P18"/>
    <mergeCell ref="E17:E18"/>
    <mergeCell ref="F17:F18"/>
    <mergeCell ref="G17:G18"/>
    <mergeCell ref="H17:H18"/>
    <mergeCell ref="K17:K18"/>
    <mergeCell ref="L17:L18"/>
    <mergeCell ref="M17:M18"/>
    <mergeCell ref="N17:N18"/>
    <mergeCell ref="Q17:Q18"/>
    <mergeCell ref="W17:W18"/>
    <mergeCell ref="X17:X18"/>
    <mergeCell ref="AC11:AG11"/>
    <mergeCell ref="I15:I16"/>
    <mergeCell ref="J15:J16"/>
    <mergeCell ref="O15:O16"/>
    <mergeCell ref="P15:P16"/>
    <mergeCell ref="V15:V16"/>
    <mergeCell ref="AB15:AB16"/>
    <mergeCell ref="K15:K16"/>
    <mergeCell ref="L15:L16"/>
    <mergeCell ref="M15:M16"/>
    <mergeCell ref="D15:D16"/>
    <mergeCell ref="E15:E16"/>
    <mergeCell ref="F15:F16"/>
    <mergeCell ref="G15:G16"/>
    <mergeCell ref="H15:H16"/>
    <mergeCell ref="AC10:AG10"/>
    <mergeCell ref="E11:J11"/>
    <mergeCell ref="K11:O11"/>
    <mergeCell ref="Q11:U11"/>
    <mergeCell ref="W11:AA11"/>
    <mergeCell ref="U15:U16"/>
    <mergeCell ref="W15:W16"/>
    <mergeCell ref="X15:X16"/>
    <mergeCell ref="Y15:Y16"/>
    <mergeCell ref="Z15:Z16"/>
    <mergeCell ref="AA15:AA16"/>
    <mergeCell ref="AC15:AC16"/>
    <mergeCell ref="AD15:AD16"/>
    <mergeCell ref="AE15:AE16"/>
    <mergeCell ref="AF15:AF16"/>
    <mergeCell ref="AG15:AG16"/>
    <mergeCell ref="B171:B176"/>
    <mergeCell ref="C157:C158"/>
    <mergeCell ref="C159:C160"/>
    <mergeCell ref="B146:B151"/>
    <mergeCell ref="C150:C151"/>
    <mergeCell ref="Y5:Y6"/>
    <mergeCell ref="E10:I10"/>
    <mergeCell ref="K10:P10"/>
    <mergeCell ref="Q10:V10"/>
    <mergeCell ref="W10:AA10"/>
    <mergeCell ref="D19:D20"/>
    <mergeCell ref="B190:C191"/>
    <mergeCell ref="C135:C136"/>
    <mergeCell ref="B137:B142"/>
    <mergeCell ref="C161:C162"/>
    <mergeCell ref="A109:A123"/>
    <mergeCell ref="C131:C132"/>
    <mergeCell ref="B109:C109"/>
    <mergeCell ref="C118:C119"/>
    <mergeCell ref="A125:A151"/>
    <mergeCell ref="C177:C178"/>
    <mergeCell ref="C179:C180"/>
    <mergeCell ref="C173:C174"/>
    <mergeCell ref="C175:C176"/>
    <mergeCell ref="A15:A38"/>
    <mergeCell ref="B33:B38"/>
    <mergeCell ref="C33:C34"/>
    <mergeCell ref="C35:C36"/>
    <mergeCell ref="C37:C38"/>
    <mergeCell ref="C19:C20"/>
    <mergeCell ref="B39:AH39"/>
    <mergeCell ref="B80:AH80"/>
    <mergeCell ref="A4:C4"/>
    <mergeCell ref="A7:C7"/>
    <mergeCell ref="B46:B51"/>
    <mergeCell ref="B10:B12"/>
    <mergeCell ref="C10:C12"/>
    <mergeCell ref="C29:C30"/>
    <mergeCell ref="C31:C32"/>
    <mergeCell ref="C27:C28"/>
    <mergeCell ref="C21:C22"/>
    <mergeCell ref="C46:C47"/>
    <mergeCell ref="C23:C24"/>
    <mergeCell ref="C25:C26"/>
    <mergeCell ref="B27:B32"/>
    <mergeCell ref="B15:B20"/>
    <mergeCell ref="C15:C16"/>
    <mergeCell ref="C17:C18"/>
    <mergeCell ref="B21:B26"/>
    <mergeCell ref="A40:A57"/>
    <mergeCell ref="B40:B45"/>
    <mergeCell ref="C40:C41"/>
    <mergeCell ref="C42:C43"/>
    <mergeCell ref="C44:C45"/>
    <mergeCell ref="C50:C51"/>
    <mergeCell ref="A74:A79"/>
    <mergeCell ref="B74:C75"/>
    <mergeCell ref="B76:C76"/>
    <mergeCell ref="B77:C77"/>
    <mergeCell ref="B78:C79"/>
    <mergeCell ref="B67:C68"/>
    <mergeCell ref="B69:C70"/>
    <mergeCell ref="A59:A72"/>
    <mergeCell ref="B71:C72"/>
    <mergeCell ref="B131:B136"/>
    <mergeCell ref="C127:C128"/>
    <mergeCell ref="C129:C130"/>
    <mergeCell ref="B125:B130"/>
    <mergeCell ref="C125:C126"/>
    <mergeCell ref="A82:A107"/>
    <mergeCell ref="C96:C97"/>
    <mergeCell ref="C98:C99"/>
    <mergeCell ref="B63:C64"/>
    <mergeCell ref="C120:C121"/>
    <mergeCell ref="C114:C115"/>
    <mergeCell ref="C116:C117"/>
    <mergeCell ref="B110:C111"/>
    <mergeCell ref="B118:B123"/>
    <mergeCell ref="B95:C95"/>
    <mergeCell ref="B108:C108"/>
    <mergeCell ref="B81:C81"/>
    <mergeCell ref="C133:C134"/>
    <mergeCell ref="B83:B88"/>
    <mergeCell ref="B96:B101"/>
    <mergeCell ref="B112:B117"/>
    <mergeCell ref="C85:C86"/>
    <mergeCell ref="C122:C123"/>
    <mergeCell ref="A190:A193"/>
    <mergeCell ref="B192:C193"/>
    <mergeCell ref="C169:C170"/>
    <mergeCell ref="C167:C168"/>
    <mergeCell ref="C165:C166"/>
    <mergeCell ref="A153:A188"/>
    <mergeCell ref="B153:B158"/>
    <mergeCell ref="B159:B164"/>
    <mergeCell ref="C185:C186"/>
    <mergeCell ref="B177:B182"/>
    <mergeCell ref="C100:C101"/>
    <mergeCell ref="C112:C113"/>
    <mergeCell ref="C83:C84"/>
    <mergeCell ref="B89:B94"/>
    <mergeCell ref="C89:C90"/>
    <mergeCell ref="C91:C92"/>
    <mergeCell ref="C93:C94"/>
    <mergeCell ref="C139:C140"/>
    <mergeCell ref="B183:B188"/>
    <mergeCell ref="C163:C164"/>
    <mergeCell ref="B165:B170"/>
    <mergeCell ref="C153:C154"/>
    <mergeCell ref="C155:C156"/>
    <mergeCell ref="C181:C182"/>
    <mergeCell ref="C187:C188"/>
    <mergeCell ref="C183:C184"/>
    <mergeCell ref="B143:B145"/>
    <mergeCell ref="C141:C142"/>
    <mergeCell ref="B152:C152"/>
    <mergeCell ref="C171:C172"/>
    <mergeCell ref="C137:C138"/>
    <mergeCell ref="C87:C88"/>
    <mergeCell ref="A226:A235"/>
    <mergeCell ref="C253:C254"/>
    <mergeCell ref="A237:A254"/>
    <mergeCell ref="C249:C250"/>
    <mergeCell ref="C251:C252"/>
    <mergeCell ref="B249:B254"/>
    <mergeCell ref="C239:C240"/>
    <mergeCell ref="A196:A211"/>
    <mergeCell ref="B243:B248"/>
    <mergeCell ref="A213:A218"/>
    <mergeCell ref="B213:C214"/>
    <mergeCell ref="B215:C216"/>
    <mergeCell ref="B217:C218"/>
    <mergeCell ref="B226:C227"/>
    <mergeCell ref="A222:A223"/>
    <mergeCell ref="B196:C197"/>
    <mergeCell ref="B230:C231"/>
    <mergeCell ref="C206:C207"/>
    <mergeCell ref="B208:C209"/>
    <mergeCell ref="B210:C211"/>
    <mergeCell ref="B198:C199"/>
    <mergeCell ref="C204:C205"/>
    <mergeCell ref="B200:C201"/>
    <mergeCell ref="B202:B207"/>
    <mergeCell ref="C202:C203"/>
    <mergeCell ref="B236:C236"/>
    <mergeCell ref="B222:B223"/>
    <mergeCell ref="C222:C223"/>
    <mergeCell ref="C243:C244"/>
    <mergeCell ref="C245:C246"/>
    <mergeCell ref="C247:C248"/>
    <mergeCell ref="B232:C233"/>
    <mergeCell ref="D102:D103"/>
    <mergeCell ref="D104:D105"/>
    <mergeCell ref="D106:D107"/>
    <mergeCell ref="D110:D111"/>
    <mergeCell ref="D112:D113"/>
    <mergeCell ref="D100:D101"/>
    <mergeCell ref="D114:D115"/>
    <mergeCell ref="D116:D117"/>
    <mergeCell ref="D118:D119"/>
    <mergeCell ref="D120:D121"/>
    <mergeCell ref="D122:D123"/>
    <mergeCell ref="D125:D126"/>
    <mergeCell ref="C48:C49"/>
    <mergeCell ref="C56:C57"/>
    <mergeCell ref="C146:C147"/>
    <mergeCell ref="C148:C149"/>
    <mergeCell ref="B102:B107"/>
    <mergeCell ref="C102:C103"/>
    <mergeCell ref="C104:C105"/>
    <mergeCell ref="C106:C107"/>
    <mergeCell ref="C52:C53"/>
    <mergeCell ref="C54:C55"/>
    <mergeCell ref="B52:B57"/>
    <mergeCell ref="B59:C60"/>
    <mergeCell ref="B61:C62"/>
    <mergeCell ref="B65:C66"/>
    <mergeCell ref="B58:C58"/>
    <mergeCell ref="D63:D64"/>
    <mergeCell ref="D67:D68"/>
    <mergeCell ref="D71:D72"/>
    <mergeCell ref="D190:D191"/>
    <mergeCell ref="D167:D168"/>
    <mergeCell ref="D169:D170"/>
    <mergeCell ref="S15:S16"/>
    <mergeCell ref="T15:T1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71:D172"/>
    <mergeCell ref="D173:D174"/>
    <mergeCell ref="D175:D176"/>
    <mergeCell ref="D177:D178"/>
    <mergeCell ref="D155:D156"/>
    <mergeCell ref="D157:D158"/>
    <mergeCell ref="D159:D160"/>
    <mergeCell ref="D161:D162"/>
    <mergeCell ref="D163:D164"/>
    <mergeCell ref="D165:D166"/>
    <mergeCell ref="D85:D86"/>
    <mergeCell ref="D87:D88"/>
    <mergeCell ref="D89:D90"/>
    <mergeCell ref="D91:D92"/>
    <mergeCell ref="D93:D94"/>
    <mergeCell ref="AC19:AC20"/>
    <mergeCell ref="AD19:AD20"/>
    <mergeCell ref="AE19:AE20"/>
    <mergeCell ref="AF19:AF20"/>
    <mergeCell ref="AG19:AG20"/>
    <mergeCell ref="D247:D248"/>
    <mergeCell ref="D249:D250"/>
    <mergeCell ref="D251:D252"/>
    <mergeCell ref="D253:D254"/>
    <mergeCell ref="D192:D193"/>
    <mergeCell ref="D237:D238"/>
    <mergeCell ref="D239:D240"/>
    <mergeCell ref="D241:D242"/>
    <mergeCell ref="D243:D244"/>
    <mergeCell ref="D245:D246"/>
    <mergeCell ref="A2:M2"/>
    <mergeCell ref="A3:K3"/>
    <mergeCell ref="A8:O8"/>
    <mergeCell ref="B73:AH73"/>
    <mergeCell ref="B124:AH124"/>
    <mergeCell ref="B189:AH189"/>
    <mergeCell ref="D179:D180"/>
    <mergeCell ref="D181:D182"/>
    <mergeCell ref="D183:D184"/>
    <mergeCell ref="D185:D186"/>
    <mergeCell ref="B194:AH194"/>
    <mergeCell ref="B195:AH195"/>
    <mergeCell ref="A5:B5"/>
    <mergeCell ref="A6:B6"/>
    <mergeCell ref="D198:D199"/>
    <mergeCell ref="D208:D209"/>
    <mergeCell ref="D187:D188"/>
    <mergeCell ref="Z21:Z22"/>
    <mergeCell ref="AA21:AA22"/>
    <mergeCell ref="AC21:AC22"/>
    <mergeCell ref="AD21:AD22"/>
    <mergeCell ref="AE21:AE22"/>
    <mergeCell ref="AF21:AF22"/>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G21:AG22"/>
    <mergeCell ref="AB21:AB22"/>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L21:L22"/>
    <mergeCell ref="M21:M22"/>
    <mergeCell ref="N21:N22"/>
    <mergeCell ref="Q21:Q22"/>
    <mergeCell ref="R21:R22"/>
    <mergeCell ref="S21:S22"/>
    <mergeCell ref="T21:T22"/>
    <mergeCell ref="U21:U22"/>
    <mergeCell ref="W21:W22"/>
    <mergeCell ref="X21:X22"/>
    <mergeCell ref="Y21:Y22"/>
    <mergeCell ref="U25:U26"/>
    <mergeCell ref="W25:W26"/>
    <mergeCell ref="X25:X26"/>
    <mergeCell ref="Y25:Y26"/>
    <mergeCell ref="Z25:Z26"/>
    <mergeCell ref="AA25:AA26"/>
    <mergeCell ref="AC25:AC26"/>
    <mergeCell ref="AD25:AD26"/>
    <mergeCell ref="AE25:AE26"/>
    <mergeCell ref="AB25:AB26"/>
    <mergeCell ref="AF25:AF26"/>
    <mergeCell ref="AG25:AG26"/>
    <mergeCell ref="E27:E28"/>
    <mergeCell ref="F27:F28"/>
    <mergeCell ref="G27:G28"/>
    <mergeCell ref="H27:H28"/>
    <mergeCell ref="K27:K28"/>
    <mergeCell ref="L27:L28"/>
    <mergeCell ref="M27:M28"/>
    <mergeCell ref="N27:N28"/>
    <mergeCell ref="U27:U28"/>
    <mergeCell ref="W27:W28"/>
    <mergeCell ref="X27:X28"/>
    <mergeCell ref="Y27:Y28"/>
    <mergeCell ref="Z27:Z28"/>
    <mergeCell ref="AA27:AA28"/>
    <mergeCell ref="AC27:AC28"/>
    <mergeCell ref="AD27:AD28"/>
    <mergeCell ref="AE27:AE28"/>
    <mergeCell ref="AF27:AF28"/>
    <mergeCell ref="AG27:AG28"/>
    <mergeCell ref="T27:T28"/>
    <mergeCell ref="AF33:AF34"/>
    <mergeCell ref="AG33:AG34"/>
    <mergeCell ref="U29:U30"/>
    <mergeCell ref="W29:W30"/>
    <mergeCell ref="X29:X30"/>
    <mergeCell ref="Y29:Y30"/>
    <mergeCell ref="Z29:Z30"/>
    <mergeCell ref="AA29:AA30"/>
    <mergeCell ref="AC29:AC30"/>
    <mergeCell ref="AD29:AD30"/>
    <mergeCell ref="AE29:AE30"/>
    <mergeCell ref="AF29:AF30"/>
    <mergeCell ref="AG29:AG30"/>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L35:L36"/>
    <mergeCell ref="M35:M36"/>
    <mergeCell ref="N35:N36"/>
    <mergeCell ref="U35:U36"/>
    <mergeCell ref="W35:W36"/>
    <mergeCell ref="X35:X36"/>
    <mergeCell ref="Y35:Y36"/>
    <mergeCell ref="Z35:Z36"/>
    <mergeCell ref="AA35:AA36"/>
    <mergeCell ref="AC35:AC36"/>
    <mergeCell ref="AD35:AD36"/>
    <mergeCell ref="AE35:AE36"/>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B37:AB38"/>
    <mergeCell ref="AG37:AG38"/>
    <mergeCell ref="E35:E36"/>
    <mergeCell ref="F35:F36"/>
    <mergeCell ref="G35:G36"/>
    <mergeCell ref="H35:H36"/>
    <mergeCell ref="K35:K36"/>
    <mergeCell ref="K40:K41"/>
    <mergeCell ref="L40:L41"/>
    <mergeCell ref="M40:M41"/>
    <mergeCell ref="N40:N41"/>
    <mergeCell ref="K42:K43"/>
    <mergeCell ref="L42:L43"/>
    <mergeCell ref="M42:M43"/>
    <mergeCell ref="N42:N43"/>
    <mergeCell ref="Y40:Y41"/>
    <mergeCell ref="K44:K45"/>
    <mergeCell ref="L44:L45"/>
    <mergeCell ref="M44:M45"/>
    <mergeCell ref="N44:N45"/>
    <mergeCell ref="K46:K47"/>
    <mergeCell ref="L46:L47"/>
    <mergeCell ref="M46:M47"/>
    <mergeCell ref="N46:N47"/>
    <mergeCell ref="X40:X41"/>
    <mergeCell ref="X46:X47"/>
    <mergeCell ref="M50:M51"/>
    <mergeCell ref="N50:N51"/>
    <mergeCell ref="K52:K53"/>
    <mergeCell ref="L52:L53"/>
    <mergeCell ref="M52:M53"/>
    <mergeCell ref="N52:N53"/>
    <mergeCell ref="K54:K55"/>
    <mergeCell ref="L54:L55"/>
    <mergeCell ref="M54:M55"/>
    <mergeCell ref="N54:N55"/>
    <mergeCell ref="M56:M57"/>
    <mergeCell ref="N56:N57"/>
    <mergeCell ref="Q40:Q41"/>
    <mergeCell ref="R40:R41"/>
    <mergeCell ref="S40:S41"/>
    <mergeCell ref="T40:T41"/>
    <mergeCell ref="Q42:Q43"/>
    <mergeCell ref="R42:R43"/>
    <mergeCell ref="S42:S43"/>
    <mergeCell ref="T42:T43"/>
    <mergeCell ref="Q44:Q45"/>
    <mergeCell ref="R44:R45"/>
    <mergeCell ref="S44:S45"/>
    <mergeCell ref="T44:T45"/>
    <mergeCell ref="Q46:Q47"/>
    <mergeCell ref="R46:R47"/>
    <mergeCell ref="S46:S47"/>
    <mergeCell ref="T46:T47"/>
    <mergeCell ref="Q48:Q49"/>
    <mergeCell ref="R48:R49"/>
    <mergeCell ref="S48:S49"/>
    <mergeCell ref="T48:T49"/>
    <mergeCell ref="Q50:Q51"/>
    <mergeCell ref="R50:R51"/>
    <mergeCell ref="S50:S51"/>
    <mergeCell ref="T50:T51"/>
    <mergeCell ref="Q52:Q53"/>
    <mergeCell ref="R52:R53"/>
    <mergeCell ref="S52:S53"/>
    <mergeCell ref="T52:T53"/>
    <mergeCell ref="Q54:Q55"/>
    <mergeCell ref="R54:R55"/>
    <mergeCell ref="S54:S55"/>
    <mergeCell ref="T54:T55"/>
    <mergeCell ref="Q56:Q57"/>
    <mergeCell ref="R56:R57"/>
    <mergeCell ref="S56:S57"/>
    <mergeCell ref="T56:T57"/>
    <mergeCell ref="W40:W41"/>
    <mergeCell ref="W46:W47"/>
    <mergeCell ref="W50:W51"/>
    <mergeCell ref="W52:W53"/>
    <mergeCell ref="X50:X51"/>
    <mergeCell ref="Z40:Z41"/>
    <mergeCell ref="W42:W43"/>
    <mergeCell ref="X42:X43"/>
    <mergeCell ref="Y42:Y43"/>
    <mergeCell ref="Z42:Z43"/>
    <mergeCell ref="W44:W45"/>
    <mergeCell ref="X44:X45"/>
    <mergeCell ref="Y44:Y45"/>
    <mergeCell ref="Z44:Z45"/>
    <mergeCell ref="Y46:Y47"/>
    <mergeCell ref="Z46:Z47"/>
    <mergeCell ref="W48:W49"/>
    <mergeCell ref="X48:X49"/>
    <mergeCell ref="Y48:Y49"/>
    <mergeCell ref="Z48:Z49"/>
    <mergeCell ref="Y50:Y51"/>
    <mergeCell ref="Z50:Z51"/>
    <mergeCell ref="X52:X53"/>
    <mergeCell ref="Y52:Y53"/>
    <mergeCell ref="Z52:Z53"/>
    <mergeCell ref="W54:W55"/>
    <mergeCell ref="X54:X55"/>
    <mergeCell ref="Y54:Y55"/>
    <mergeCell ref="Z54:Z55"/>
    <mergeCell ref="W56:W57"/>
    <mergeCell ref="X56:X57"/>
    <mergeCell ref="Y56:Y57"/>
    <mergeCell ref="Z56:Z57"/>
    <mergeCell ref="AC40:AC41"/>
    <mergeCell ref="AD40:AD41"/>
    <mergeCell ref="AE40:AE41"/>
    <mergeCell ref="AF40:AF41"/>
    <mergeCell ref="AC42:AC43"/>
    <mergeCell ref="AD42:AD43"/>
    <mergeCell ref="AE42:AE43"/>
    <mergeCell ref="AF42:AF43"/>
    <mergeCell ref="AC44:AC45"/>
    <mergeCell ref="AD44:AD45"/>
    <mergeCell ref="AE44:AE45"/>
    <mergeCell ref="AF44:AF45"/>
    <mergeCell ref="AC46:AC47"/>
    <mergeCell ref="AD46:AD47"/>
    <mergeCell ref="AE46:AE47"/>
    <mergeCell ref="AF46:AF47"/>
    <mergeCell ref="AC48:AC49"/>
    <mergeCell ref="AD48:AD49"/>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E40:E41"/>
    <mergeCell ref="F40:F41"/>
    <mergeCell ref="G40:G41"/>
    <mergeCell ref="H40:H41"/>
    <mergeCell ref="E42:E43"/>
    <mergeCell ref="F42:F43"/>
    <mergeCell ref="G42:G43"/>
    <mergeCell ref="H42:H43"/>
    <mergeCell ref="E44:E45"/>
    <mergeCell ref="F44:F45"/>
    <mergeCell ref="G44:G45"/>
    <mergeCell ref="H44:H45"/>
    <mergeCell ref="E46:E47"/>
    <mergeCell ref="F46:F47"/>
    <mergeCell ref="G46:G47"/>
    <mergeCell ref="H46:H47"/>
    <mergeCell ref="E48:E49"/>
    <mergeCell ref="F48:F49"/>
    <mergeCell ref="G48:G49"/>
    <mergeCell ref="H48:H49"/>
    <mergeCell ref="E50:E51"/>
    <mergeCell ref="F50:F51"/>
    <mergeCell ref="G50:G51"/>
    <mergeCell ref="H50:H51"/>
    <mergeCell ref="E52:E53"/>
    <mergeCell ref="F52:F53"/>
    <mergeCell ref="G52:G53"/>
    <mergeCell ref="H52:H53"/>
    <mergeCell ref="E54:E55"/>
    <mergeCell ref="F54:F55"/>
    <mergeCell ref="G54:G55"/>
    <mergeCell ref="H54:H55"/>
    <mergeCell ref="E56:E57"/>
    <mergeCell ref="F56:F57"/>
    <mergeCell ref="G56:G57"/>
    <mergeCell ref="H56:H57"/>
    <mergeCell ref="W59:W60"/>
    <mergeCell ref="X59:X60"/>
    <mergeCell ref="Y59:Y60"/>
    <mergeCell ref="Z59:Z60"/>
    <mergeCell ref="W61:W62"/>
    <mergeCell ref="X61:X62"/>
    <mergeCell ref="Y61:Y62"/>
    <mergeCell ref="Z61:Z62"/>
    <mergeCell ref="W63:W64"/>
    <mergeCell ref="X63:X64"/>
    <mergeCell ref="Y63:Y64"/>
    <mergeCell ref="Z63:Z64"/>
    <mergeCell ref="W65:W66"/>
    <mergeCell ref="X65:X66"/>
    <mergeCell ref="Y65:Y66"/>
    <mergeCell ref="Z65:Z66"/>
    <mergeCell ref="W67:W68"/>
    <mergeCell ref="X67:X68"/>
    <mergeCell ref="Y67:Y68"/>
    <mergeCell ref="Z67:Z68"/>
    <mergeCell ref="Q59:Q60"/>
    <mergeCell ref="R59:R60"/>
    <mergeCell ref="S59:S60"/>
    <mergeCell ref="T59:T60"/>
    <mergeCell ref="Q61:Q62"/>
    <mergeCell ref="R61:R62"/>
    <mergeCell ref="S61:S62"/>
    <mergeCell ref="T61:T62"/>
    <mergeCell ref="Q63:Q64"/>
    <mergeCell ref="R63:R64"/>
    <mergeCell ref="S63:S64"/>
    <mergeCell ref="T63:T64"/>
    <mergeCell ref="Q65:Q66"/>
    <mergeCell ref="R65:R66"/>
    <mergeCell ref="S65:S66"/>
    <mergeCell ref="T65:T66"/>
    <mergeCell ref="Q67:Q68"/>
    <mergeCell ref="R67:R68"/>
    <mergeCell ref="S67:S68"/>
    <mergeCell ref="T67:T68"/>
    <mergeCell ref="Q71:Q72"/>
    <mergeCell ref="R71:R72"/>
    <mergeCell ref="S71:S72"/>
    <mergeCell ref="T71:T72"/>
    <mergeCell ref="K59:K60"/>
    <mergeCell ref="L59:L60"/>
    <mergeCell ref="M59:M60"/>
    <mergeCell ref="N59:N60"/>
    <mergeCell ref="K61:K62"/>
    <mergeCell ref="L61:L62"/>
    <mergeCell ref="M61:M62"/>
    <mergeCell ref="N61:N62"/>
    <mergeCell ref="K63:K64"/>
    <mergeCell ref="L63:L64"/>
    <mergeCell ref="M63:M64"/>
    <mergeCell ref="N63:N64"/>
    <mergeCell ref="K65:K66"/>
    <mergeCell ref="L65:L66"/>
    <mergeCell ref="M65:M66"/>
    <mergeCell ref="N65:N66"/>
    <mergeCell ref="K67:K68"/>
    <mergeCell ref="L67:L68"/>
    <mergeCell ref="M67:M68"/>
    <mergeCell ref="N67:N68"/>
    <mergeCell ref="K69:K70"/>
    <mergeCell ref="L69:L70"/>
    <mergeCell ref="M69:M70"/>
    <mergeCell ref="N69:N70"/>
    <mergeCell ref="K71:K72"/>
    <mergeCell ref="L71:L72"/>
    <mergeCell ref="M71:M72"/>
    <mergeCell ref="N71:N72"/>
    <mergeCell ref="E59:E60"/>
    <mergeCell ref="F59:F60"/>
    <mergeCell ref="G59:G60"/>
    <mergeCell ref="H59:H60"/>
    <mergeCell ref="E61:E62"/>
    <mergeCell ref="F61:F62"/>
    <mergeCell ref="G61:G62"/>
    <mergeCell ref="H61:H62"/>
    <mergeCell ref="E63:E64"/>
    <mergeCell ref="F63:F64"/>
    <mergeCell ref="G63:G64"/>
    <mergeCell ref="H63:H64"/>
    <mergeCell ref="E65:E66"/>
    <mergeCell ref="F65:F66"/>
    <mergeCell ref="G65:G66"/>
    <mergeCell ref="H65:H66"/>
    <mergeCell ref="E67:E68"/>
    <mergeCell ref="F67:F68"/>
    <mergeCell ref="G67:G68"/>
    <mergeCell ref="H67:H68"/>
    <mergeCell ref="E69:E70"/>
    <mergeCell ref="F69:F70"/>
    <mergeCell ref="G69:G70"/>
    <mergeCell ref="H69:H70"/>
    <mergeCell ref="E71:E72"/>
    <mergeCell ref="F71:F72"/>
    <mergeCell ref="G71:G72"/>
    <mergeCell ref="H71:H72"/>
    <mergeCell ref="K78:K79"/>
    <mergeCell ref="L78:L79"/>
    <mergeCell ref="M78:M79"/>
    <mergeCell ref="N78:N79"/>
    <mergeCell ref="E74:E75"/>
    <mergeCell ref="F74:F75"/>
    <mergeCell ref="G74:G75"/>
    <mergeCell ref="H74:H75"/>
    <mergeCell ref="E78:E79"/>
    <mergeCell ref="F78:F79"/>
    <mergeCell ref="G78:G79"/>
    <mergeCell ref="H78:H79"/>
    <mergeCell ref="J71:J72"/>
    <mergeCell ref="J78:J79"/>
    <mergeCell ref="Y74:Y75"/>
    <mergeCell ref="Z74:Z75"/>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K83:K84"/>
    <mergeCell ref="L83:L84"/>
    <mergeCell ref="M83:M84"/>
    <mergeCell ref="N83:N84"/>
    <mergeCell ref="W83:W84"/>
    <mergeCell ref="X83:X84"/>
    <mergeCell ref="Y83:Y84"/>
    <mergeCell ref="Z83:Z84"/>
    <mergeCell ref="AC83:AC84"/>
    <mergeCell ref="AD83:AD84"/>
    <mergeCell ref="AE83:AE84"/>
    <mergeCell ref="AF83:AF84"/>
    <mergeCell ref="P78:P79"/>
    <mergeCell ref="V78:V79"/>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E93:E94"/>
    <mergeCell ref="F93:F94"/>
    <mergeCell ref="G93:G94"/>
    <mergeCell ref="H93:H94"/>
    <mergeCell ref="K91:K92"/>
    <mergeCell ref="L91:L92"/>
    <mergeCell ref="M91:M92"/>
    <mergeCell ref="N91:N92"/>
    <mergeCell ref="K93:K94"/>
    <mergeCell ref="L93:L94"/>
    <mergeCell ref="M93:M94"/>
    <mergeCell ref="N93:N94"/>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Q93:Q94"/>
    <mergeCell ref="R93:R94"/>
    <mergeCell ref="S93:S94"/>
    <mergeCell ref="T93:T9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W93:W94"/>
    <mergeCell ref="X93:X94"/>
    <mergeCell ref="Y93:Y94"/>
    <mergeCell ref="Z93:Z9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E100:E101"/>
    <mergeCell ref="F100:F101"/>
    <mergeCell ref="G100:G101"/>
    <mergeCell ref="H100:H101"/>
    <mergeCell ref="E102:E103"/>
    <mergeCell ref="F102:F103"/>
    <mergeCell ref="G102:G103"/>
    <mergeCell ref="H102:H103"/>
    <mergeCell ref="E104:E105"/>
    <mergeCell ref="F104:F105"/>
    <mergeCell ref="G104:G105"/>
    <mergeCell ref="H104:H105"/>
    <mergeCell ref="E106:E107"/>
    <mergeCell ref="F106:F107"/>
    <mergeCell ref="G106:G107"/>
    <mergeCell ref="H106:H107"/>
    <mergeCell ref="K96:K97"/>
    <mergeCell ref="K98:K99"/>
    <mergeCell ref="K100:K101"/>
    <mergeCell ref="K102:K103"/>
    <mergeCell ref="K104:K105"/>
    <mergeCell ref="K106:K107"/>
    <mergeCell ref="J104:J105"/>
    <mergeCell ref="Q98:Q99"/>
    <mergeCell ref="Q100:Q101"/>
    <mergeCell ref="Q102:Q103"/>
    <mergeCell ref="Q104:Q105"/>
    <mergeCell ref="Q106:Q107"/>
    <mergeCell ref="R96:R97"/>
    <mergeCell ref="R98:R99"/>
    <mergeCell ref="R100:R101"/>
    <mergeCell ref="R102:R103"/>
    <mergeCell ref="R104:R105"/>
    <mergeCell ref="R106:R107"/>
    <mergeCell ref="S96:S97"/>
    <mergeCell ref="S98:S99"/>
    <mergeCell ref="S100:S101"/>
    <mergeCell ref="S102:S103"/>
    <mergeCell ref="S104:S105"/>
    <mergeCell ref="S106:S107"/>
    <mergeCell ref="T96:T97"/>
    <mergeCell ref="T98:T99"/>
    <mergeCell ref="T100:T101"/>
    <mergeCell ref="T102:T103"/>
    <mergeCell ref="T104:T105"/>
    <mergeCell ref="T106:T107"/>
    <mergeCell ref="W96:W97"/>
    <mergeCell ref="W98:W99"/>
    <mergeCell ref="W100:W101"/>
    <mergeCell ref="W102:W103"/>
    <mergeCell ref="W104:W105"/>
    <mergeCell ref="W106:W107"/>
    <mergeCell ref="X96:X97"/>
    <mergeCell ref="Y96:Y97"/>
    <mergeCell ref="Z96:Z97"/>
    <mergeCell ref="X98:X99"/>
    <mergeCell ref="Y98:Y99"/>
    <mergeCell ref="Z98:Z99"/>
    <mergeCell ref="X100:X101"/>
    <mergeCell ref="Y100:Y101"/>
    <mergeCell ref="Z100:Z101"/>
    <mergeCell ref="X102:X103"/>
    <mergeCell ref="Y102:Y103"/>
    <mergeCell ref="Z102:Z103"/>
    <mergeCell ref="X104:X105"/>
    <mergeCell ref="Y104:Y105"/>
    <mergeCell ref="Z104:Z105"/>
    <mergeCell ref="X106:X107"/>
    <mergeCell ref="Y106:Y107"/>
    <mergeCell ref="Z106:Z107"/>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AC106:AC107"/>
    <mergeCell ref="AD106:AD107"/>
    <mergeCell ref="AE106:AE107"/>
    <mergeCell ref="AF106:AF107"/>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M110:M111"/>
    <mergeCell ref="N110:N111"/>
    <mergeCell ref="M112:M113"/>
    <mergeCell ref="N112:N113"/>
    <mergeCell ref="M114:M115"/>
    <mergeCell ref="N114:N115"/>
    <mergeCell ref="M116:M117"/>
    <mergeCell ref="N116:N117"/>
    <mergeCell ref="Q110:Q111"/>
    <mergeCell ref="R110:R111"/>
    <mergeCell ref="Q114:Q115"/>
    <mergeCell ref="R114:R115"/>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K112:K113"/>
    <mergeCell ref="L112:L113"/>
    <mergeCell ref="K116:K117"/>
    <mergeCell ref="L116:L117"/>
    <mergeCell ref="K120:K121"/>
    <mergeCell ref="L120:L121"/>
    <mergeCell ref="K122:K123"/>
    <mergeCell ref="L122:L123"/>
    <mergeCell ref="J114:J115"/>
    <mergeCell ref="J122:J123"/>
    <mergeCell ref="S120:S121"/>
    <mergeCell ref="T120:T121"/>
    <mergeCell ref="Q122:Q123"/>
    <mergeCell ref="R122:R123"/>
    <mergeCell ref="S122:S123"/>
    <mergeCell ref="T122:T123"/>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J125:J126"/>
    <mergeCell ref="P125:P126"/>
    <mergeCell ref="V125:V126"/>
    <mergeCell ref="AB125:AB126"/>
    <mergeCell ref="N125:N126"/>
    <mergeCell ref="Q125:Q126"/>
    <mergeCell ref="AH125:AH126"/>
    <mergeCell ref="E125:E126"/>
    <mergeCell ref="F125:F126"/>
    <mergeCell ref="G125:G126"/>
    <mergeCell ref="H125:H126"/>
    <mergeCell ref="E127:E128"/>
    <mergeCell ref="F127:F128"/>
    <mergeCell ref="G127:G128"/>
    <mergeCell ref="H127:H128"/>
    <mergeCell ref="M125:M126"/>
    <mergeCell ref="E129:E130"/>
    <mergeCell ref="F129:F130"/>
    <mergeCell ref="G129:G130"/>
    <mergeCell ref="H129:H130"/>
    <mergeCell ref="R125:R126"/>
    <mergeCell ref="S125:S126"/>
    <mergeCell ref="T125:T126"/>
    <mergeCell ref="Q127:Q128"/>
    <mergeCell ref="R127:R128"/>
    <mergeCell ref="S127:S128"/>
    <mergeCell ref="T127:T128"/>
    <mergeCell ref="Q129:Q130"/>
    <mergeCell ref="R129:R130"/>
    <mergeCell ref="S129:S130"/>
    <mergeCell ref="T129:T130"/>
    <mergeCell ref="K137:K138"/>
    <mergeCell ref="L137:L138"/>
    <mergeCell ref="M137:M138"/>
    <mergeCell ref="N137:N138"/>
    <mergeCell ref="K139:K140"/>
    <mergeCell ref="L139:L140"/>
    <mergeCell ref="E131:E132"/>
    <mergeCell ref="F131:F132"/>
    <mergeCell ref="G131:G132"/>
    <mergeCell ref="H131:H132"/>
    <mergeCell ref="E133:E134"/>
    <mergeCell ref="F133:F134"/>
    <mergeCell ref="G133:G134"/>
    <mergeCell ref="H133:H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J133:J134"/>
    <mergeCell ref="Y135:Y136"/>
    <mergeCell ref="Z135:Z136"/>
    <mergeCell ref="W137:W138"/>
    <mergeCell ref="X137:X138"/>
    <mergeCell ref="Y137:Y138"/>
    <mergeCell ref="Z137:Z138"/>
    <mergeCell ref="E141:E142"/>
    <mergeCell ref="F141:F142"/>
    <mergeCell ref="G141:G142"/>
    <mergeCell ref="H141:H142"/>
    <mergeCell ref="K125:K126"/>
    <mergeCell ref="L125:L126"/>
    <mergeCell ref="K127:K128"/>
    <mergeCell ref="L127:L128"/>
    <mergeCell ref="K131:K132"/>
    <mergeCell ref="L131:L132"/>
    <mergeCell ref="M127:M128"/>
    <mergeCell ref="N127:N128"/>
    <mergeCell ref="K129:K130"/>
    <mergeCell ref="L129:L130"/>
    <mergeCell ref="M129:M130"/>
    <mergeCell ref="N129:N130"/>
    <mergeCell ref="M131:M132"/>
    <mergeCell ref="N131:N132"/>
    <mergeCell ref="K133:K134"/>
    <mergeCell ref="L133:L134"/>
    <mergeCell ref="M133:M134"/>
    <mergeCell ref="N133:N134"/>
    <mergeCell ref="K135:K136"/>
    <mergeCell ref="L135:L136"/>
    <mergeCell ref="M135:M136"/>
    <mergeCell ref="N135:N136"/>
    <mergeCell ref="AC133:AC134"/>
    <mergeCell ref="AD133:AD134"/>
    <mergeCell ref="AC137:AC138"/>
    <mergeCell ref="AD137:AD138"/>
    <mergeCell ref="AE137:AE138"/>
    <mergeCell ref="AF137:AF138"/>
    <mergeCell ref="S139:S140"/>
    <mergeCell ref="T139:T140"/>
    <mergeCell ref="S141:S142"/>
    <mergeCell ref="T141:T142"/>
    <mergeCell ref="W125:W126"/>
    <mergeCell ref="X125:X126"/>
    <mergeCell ref="W129:W130"/>
    <mergeCell ref="X129:X130"/>
    <mergeCell ref="W133:W134"/>
    <mergeCell ref="X133:X134"/>
    <mergeCell ref="Y125:Y126"/>
    <mergeCell ref="Z125:Z126"/>
    <mergeCell ref="W127:W128"/>
    <mergeCell ref="X127:X128"/>
    <mergeCell ref="Y127:Y128"/>
    <mergeCell ref="Z127:Z128"/>
    <mergeCell ref="Y129:Y130"/>
    <mergeCell ref="Z129:Z130"/>
    <mergeCell ref="W131:W132"/>
    <mergeCell ref="X131:X132"/>
    <mergeCell ref="Y131:Y132"/>
    <mergeCell ref="Z131:Z132"/>
    <mergeCell ref="Y133:Y134"/>
    <mergeCell ref="Z133:Z134"/>
    <mergeCell ref="W135:W136"/>
    <mergeCell ref="X135:X136"/>
    <mergeCell ref="S148:S149"/>
    <mergeCell ref="T148:T149"/>
    <mergeCell ref="K148:K149"/>
    <mergeCell ref="L148:L149"/>
    <mergeCell ref="M148:M149"/>
    <mergeCell ref="N148:N149"/>
    <mergeCell ref="W139:W140"/>
    <mergeCell ref="X139:X140"/>
    <mergeCell ref="Y139:Y140"/>
    <mergeCell ref="Z139:Z140"/>
    <mergeCell ref="AE125:AE126"/>
    <mergeCell ref="AF125:AF126"/>
    <mergeCell ref="AC127:AC128"/>
    <mergeCell ref="AD127:AD128"/>
    <mergeCell ref="AE127:AE128"/>
    <mergeCell ref="AF127:AF128"/>
    <mergeCell ref="AC125:AC126"/>
    <mergeCell ref="AD125:AD126"/>
    <mergeCell ref="AE129:AE130"/>
    <mergeCell ref="AF129:AF130"/>
    <mergeCell ref="AC131:AC132"/>
    <mergeCell ref="AD131:AD132"/>
    <mergeCell ref="AE131:AE132"/>
    <mergeCell ref="AF131:AF132"/>
    <mergeCell ref="AC129:AC130"/>
    <mergeCell ref="AD129:AD130"/>
    <mergeCell ref="AE133:AE134"/>
    <mergeCell ref="AF133:AF134"/>
    <mergeCell ref="AC135:AC136"/>
    <mergeCell ref="AD135:AD136"/>
    <mergeCell ref="AE135:AE136"/>
    <mergeCell ref="AF135:AF136"/>
    <mergeCell ref="Z148:Z149"/>
    <mergeCell ref="Y150:Y151"/>
    <mergeCell ref="Z150:Z151"/>
    <mergeCell ref="AC146:AC147"/>
    <mergeCell ref="AD146:AD147"/>
    <mergeCell ref="AE146:AE147"/>
    <mergeCell ref="AC139:AC140"/>
    <mergeCell ref="AD139:AD140"/>
    <mergeCell ref="AE139:AE140"/>
    <mergeCell ref="AF139:AF140"/>
    <mergeCell ref="AE141:AE142"/>
    <mergeCell ref="AF141:AF142"/>
    <mergeCell ref="K146:K147"/>
    <mergeCell ref="L146:L147"/>
    <mergeCell ref="M146:M147"/>
    <mergeCell ref="N146:N147"/>
    <mergeCell ref="Q146:Q147"/>
    <mergeCell ref="R146:R147"/>
    <mergeCell ref="W141:W142"/>
    <mergeCell ref="X141:X142"/>
    <mergeCell ref="K150:K151"/>
    <mergeCell ref="L150:L151"/>
    <mergeCell ref="M150:M151"/>
    <mergeCell ref="N150:N151"/>
    <mergeCell ref="AC141:AC142"/>
    <mergeCell ref="AD141:AD142"/>
    <mergeCell ref="Y141:Y142"/>
    <mergeCell ref="Z141:Z142"/>
    <mergeCell ref="Q141:Q142"/>
    <mergeCell ref="R141:R142"/>
    <mergeCell ref="Q148:Q149"/>
    <mergeCell ref="R148:R149"/>
    <mergeCell ref="AF146:AF147"/>
    <mergeCell ref="AC148:AC149"/>
    <mergeCell ref="AD148:AD149"/>
    <mergeCell ref="AE148:AE149"/>
    <mergeCell ref="AF148:AF149"/>
    <mergeCell ref="AC150:AC151"/>
    <mergeCell ref="AD150:AD151"/>
    <mergeCell ref="AE150:AE151"/>
    <mergeCell ref="AF150:AF151"/>
    <mergeCell ref="E146:E147"/>
    <mergeCell ref="F146:F147"/>
    <mergeCell ref="G146:G147"/>
    <mergeCell ref="H146:H147"/>
    <mergeCell ref="E148:E149"/>
    <mergeCell ref="F148:F149"/>
    <mergeCell ref="G148:G149"/>
    <mergeCell ref="H148:H149"/>
    <mergeCell ref="E150:E151"/>
    <mergeCell ref="F150:F151"/>
    <mergeCell ref="G150:G151"/>
    <mergeCell ref="H150:H151"/>
    <mergeCell ref="W146:W147"/>
    <mergeCell ref="X146:X147"/>
    <mergeCell ref="W150:W151"/>
    <mergeCell ref="X150:X151"/>
    <mergeCell ref="S146:S147"/>
    <mergeCell ref="T146:T147"/>
    <mergeCell ref="Y146:Y147"/>
    <mergeCell ref="Z146:Z147"/>
    <mergeCell ref="W148:W149"/>
    <mergeCell ref="X148:X149"/>
    <mergeCell ref="Y148:Y149"/>
    <mergeCell ref="Q163:Q164"/>
    <mergeCell ref="R163:R164"/>
    <mergeCell ref="S163:S164"/>
    <mergeCell ref="T163:T164"/>
    <mergeCell ref="Q165:Q166"/>
    <mergeCell ref="R165:R166"/>
    <mergeCell ref="S165:S166"/>
    <mergeCell ref="T165:T166"/>
    <mergeCell ref="Q167:Q168"/>
    <mergeCell ref="R167:R168"/>
    <mergeCell ref="S167:S168"/>
    <mergeCell ref="T167:T168"/>
    <mergeCell ref="Q169:Q170"/>
    <mergeCell ref="R169:R170"/>
    <mergeCell ref="S169:S170"/>
    <mergeCell ref="T169:T170"/>
    <mergeCell ref="Q171:Q172"/>
    <mergeCell ref="R171:R172"/>
    <mergeCell ref="S171:S172"/>
    <mergeCell ref="T171:T172"/>
    <mergeCell ref="Q179:Q180"/>
    <mergeCell ref="R179:R180"/>
    <mergeCell ref="S179:S180"/>
    <mergeCell ref="T179:T180"/>
    <mergeCell ref="Q181:Q182"/>
    <mergeCell ref="R181:R182"/>
    <mergeCell ref="S181:S182"/>
    <mergeCell ref="T181:T182"/>
    <mergeCell ref="Q183:Q184"/>
    <mergeCell ref="R183:R184"/>
    <mergeCell ref="S183:S184"/>
    <mergeCell ref="T183:T184"/>
    <mergeCell ref="Q185:Q186"/>
    <mergeCell ref="R185:R186"/>
    <mergeCell ref="S185:S186"/>
    <mergeCell ref="T185:T186"/>
    <mergeCell ref="Q187:Q188"/>
    <mergeCell ref="R187:R188"/>
    <mergeCell ref="S187:S188"/>
    <mergeCell ref="T187:T188"/>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3:W164"/>
    <mergeCell ref="X163:X164"/>
    <mergeCell ref="Y163:Y164"/>
    <mergeCell ref="Z163:Z164"/>
    <mergeCell ref="W165:W166"/>
    <mergeCell ref="X165:X166"/>
    <mergeCell ref="Y165:Y166"/>
    <mergeCell ref="Z165:Z166"/>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K153:K154"/>
    <mergeCell ref="L153:L154"/>
    <mergeCell ref="M153:M154"/>
    <mergeCell ref="N153:N154"/>
    <mergeCell ref="K155:K156"/>
    <mergeCell ref="L155:L156"/>
    <mergeCell ref="M155:M156"/>
    <mergeCell ref="N155:N156"/>
    <mergeCell ref="K157:K158"/>
    <mergeCell ref="L157:L158"/>
    <mergeCell ref="M157:M158"/>
    <mergeCell ref="N157:N158"/>
    <mergeCell ref="K159:K160"/>
    <mergeCell ref="L159:L160"/>
    <mergeCell ref="M159:M160"/>
    <mergeCell ref="N159:N160"/>
    <mergeCell ref="K161:K162"/>
    <mergeCell ref="L161:L162"/>
    <mergeCell ref="M161:M162"/>
    <mergeCell ref="N161:N162"/>
    <mergeCell ref="K163:K164"/>
    <mergeCell ref="L163:L164"/>
    <mergeCell ref="M163:M164"/>
    <mergeCell ref="N163:N164"/>
    <mergeCell ref="K165:K166"/>
    <mergeCell ref="L165:L166"/>
    <mergeCell ref="M165:M166"/>
    <mergeCell ref="N165:N166"/>
    <mergeCell ref="K167:K168"/>
    <mergeCell ref="L167:L168"/>
    <mergeCell ref="M167:M168"/>
    <mergeCell ref="N167:N168"/>
    <mergeCell ref="K169:K170"/>
    <mergeCell ref="L169:L170"/>
    <mergeCell ref="M169:M170"/>
    <mergeCell ref="N169:N170"/>
    <mergeCell ref="K171:K172"/>
    <mergeCell ref="L171:L172"/>
    <mergeCell ref="M171:M172"/>
    <mergeCell ref="N171:N172"/>
    <mergeCell ref="K173:K174"/>
    <mergeCell ref="L173:L174"/>
    <mergeCell ref="M173:M174"/>
    <mergeCell ref="N173:N174"/>
    <mergeCell ref="K175:K176"/>
    <mergeCell ref="L175:L176"/>
    <mergeCell ref="M175:M176"/>
    <mergeCell ref="N175:N176"/>
    <mergeCell ref="K177:K178"/>
    <mergeCell ref="L177:L178"/>
    <mergeCell ref="M177:M178"/>
    <mergeCell ref="N177:N178"/>
    <mergeCell ref="K179:K180"/>
    <mergeCell ref="L179:L180"/>
    <mergeCell ref="M179:M180"/>
    <mergeCell ref="N179:N180"/>
    <mergeCell ref="K181:K182"/>
    <mergeCell ref="L181:L182"/>
    <mergeCell ref="M181:M182"/>
    <mergeCell ref="N181:N182"/>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90:K191"/>
    <mergeCell ref="L190:L191"/>
    <mergeCell ref="M190:M191"/>
    <mergeCell ref="N190:N191"/>
    <mergeCell ref="K192:K193"/>
    <mergeCell ref="L192:L193"/>
    <mergeCell ref="M192:M193"/>
    <mergeCell ref="N192:N193"/>
    <mergeCell ref="K183:K184"/>
    <mergeCell ref="L183:L184"/>
    <mergeCell ref="M183:M184"/>
    <mergeCell ref="N183:N184"/>
    <mergeCell ref="K185:K186"/>
    <mergeCell ref="L185:L186"/>
    <mergeCell ref="M185:M186"/>
    <mergeCell ref="N185:N186"/>
    <mergeCell ref="K187:K188"/>
    <mergeCell ref="L187:L188"/>
    <mergeCell ref="M187:M188"/>
    <mergeCell ref="N187:N188"/>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0:E191"/>
    <mergeCell ref="F190:F191"/>
    <mergeCell ref="G190:G191"/>
    <mergeCell ref="H190:H191"/>
    <mergeCell ref="E192:E193"/>
    <mergeCell ref="F192:F193"/>
    <mergeCell ref="G192:G193"/>
    <mergeCell ref="H192:H193"/>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M217:M218"/>
    <mergeCell ref="N217:N218"/>
    <mergeCell ref="Q213:Q214"/>
    <mergeCell ref="R213:R214"/>
    <mergeCell ref="Q217:Q218"/>
    <mergeCell ref="R217:R218"/>
    <mergeCell ref="S213:S214"/>
    <mergeCell ref="T213:T214"/>
    <mergeCell ref="Q215:Q216"/>
    <mergeCell ref="R215:R216"/>
    <mergeCell ref="S215:S216"/>
    <mergeCell ref="T215:T216"/>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W215:W216"/>
    <mergeCell ref="X215:X216"/>
    <mergeCell ref="Y215:Y216"/>
    <mergeCell ref="Z215:Z216"/>
    <mergeCell ref="E213:E214"/>
    <mergeCell ref="F213:F214"/>
    <mergeCell ref="G213:G214"/>
    <mergeCell ref="H213:H214"/>
    <mergeCell ref="E215:E216"/>
    <mergeCell ref="F215:F216"/>
    <mergeCell ref="G215:G216"/>
    <mergeCell ref="H215:H216"/>
    <mergeCell ref="W213:W214"/>
    <mergeCell ref="X213:X214"/>
    <mergeCell ref="Y213:Y214"/>
    <mergeCell ref="Z213:Z214"/>
    <mergeCell ref="B212:AH212"/>
    <mergeCell ref="K237:K238"/>
    <mergeCell ref="L237:L238"/>
    <mergeCell ref="M237:M238"/>
    <mergeCell ref="N237:N238"/>
    <mergeCell ref="S237:S238"/>
    <mergeCell ref="R237:R238"/>
    <mergeCell ref="AE237:AE238"/>
    <mergeCell ref="AF237:AF238"/>
    <mergeCell ref="B237:B242"/>
    <mergeCell ref="C241:C242"/>
    <mergeCell ref="B228:C229"/>
    <mergeCell ref="B234:C235"/>
    <mergeCell ref="B225:C225"/>
    <mergeCell ref="J217:J218"/>
    <mergeCell ref="P217:P218"/>
    <mergeCell ref="V217:V218"/>
    <mergeCell ref="AB217:AB218"/>
    <mergeCell ref="AH217:AH218"/>
    <mergeCell ref="G222:H222"/>
    <mergeCell ref="K245:K246"/>
    <mergeCell ref="L245:L246"/>
    <mergeCell ref="M245:M246"/>
    <mergeCell ref="N245:N246"/>
    <mergeCell ref="K247:K248"/>
    <mergeCell ref="L247:L248"/>
    <mergeCell ref="M247:M248"/>
    <mergeCell ref="N247:N248"/>
    <mergeCell ref="K249:K250"/>
    <mergeCell ref="L249:L250"/>
    <mergeCell ref="M249:M250"/>
    <mergeCell ref="N249:N250"/>
    <mergeCell ref="K253:K254"/>
    <mergeCell ref="L253:L254"/>
    <mergeCell ref="M253:M254"/>
    <mergeCell ref="N253:N254"/>
    <mergeCell ref="Q237:Q238"/>
    <mergeCell ref="Q243:Q244"/>
    <mergeCell ref="Q247:Q248"/>
    <mergeCell ref="Q249:Q250"/>
    <mergeCell ref="R247:R248"/>
    <mergeCell ref="T237:T238"/>
    <mergeCell ref="Q239:Q240"/>
    <mergeCell ref="R239:R240"/>
    <mergeCell ref="S239:S240"/>
    <mergeCell ref="T239:T240"/>
    <mergeCell ref="Q241:Q242"/>
    <mergeCell ref="R241:R242"/>
    <mergeCell ref="S241:S242"/>
    <mergeCell ref="T241:T242"/>
    <mergeCell ref="S243:S244"/>
    <mergeCell ref="T243:T244"/>
    <mergeCell ref="Q245:Q246"/>
    <mergeCell ref="R245:R246"/>
    <mergeCell ref="S245:S246"/>
    <mergeCell ref="T245:T246"/>
    <mergeCell ref="S247:S248"/>
    <mergeCell ref="T247:T248"/>
    <mergeCell ref="R249:R250"/>
    <mergeCell ref="S249:S250"/>
    <mergeCell ref="T249:T250"/>
    <mergeCell ref="Q251:Q252"/>
    <mergeCell ref="R251:R252"/>
    <mergeCell ref="S251:S252"/>
    <mergeCell ref="T251:T252"/>
    <mergeCell ref="Q253:Q254"/>
    <mergeCell ref="R253:R254"/>
    <mergeCell ref="S253:S254"/>
    <mergeCell ref="T253:T254"/>
    <mergeCell ref="W237:W238"/>
    <mergeCell ref="X237:X238"/>
    <mergeCell ref="Y237:Y238"/>
    <mergeCell ref="Z237:Z238"/>
    <mergeCell ref="W239:W240"/>
    <mergeCell ref="X239:X240"/>
    <mergeCell ref="Y239:Y240"/>
    <mergeCell ref="Z239:Z240"/>
    <mergeCell ref="W241:W242"/>
    <mergeCell ref="X241:X242"/>
    <mergeCell ref="Y241:Y242"/>
    <mergeCell ref="Z241:Z242"/>
    <mergeCell ref="W243:W244"/>
    <mergeCell ref="X243:X244"/>
    <mergeCell ref="Y243:Y244"/>
    <mergeCell ref="Z243:Z244"/>
    <mergeCell ref="W245:W246"/>
    <mergeCell ref="X245:X246"/>
    <mergeCell ref="Y245:Y246"/>
    <mergeCell ref="Z245:Z246"/>
    <mergeCell ref="W247:W248"/>
    <mergeCell ref="Y249:Y250"/>
    <mergeCell ref="Z249:Z250"/>
    <mergeCell ref="W251:W252"/>
    <mergeCell ref="X251:X252"/>
    <mergeCell ref="Y251:Y252"/>
    <mergeCell ref="Z251:Z252"/>
    <mergeCell ref="W253:W254"/>
    <mergeCell ref="X253:X254"/>
    <mergeCell ref="Y253:Y254"/>
    <mergeCell ref="Z253:Z254"/>
    <mergeCell ref="AC237:AC238"/>
    <mergeCell ref="AD237:AD238"/>
    <mergeCell ref="AC241:AC242"/>
    <mergeCell ref="AD241:AD242"/>
    <mergeCell ref="AC245:AC246"/>
    <mergeCell ref="AD245:AD246"/>
    <mergeCell ref="AC239:AC240"/>
    <mergeCell ref="AD239:AD240"/>
    <mergeCell ref="AC251:AC252"/>
    <mergeCell ref="AD251:AD252"/>
    <mergeCell ref="E245:E246"/>
    <mergeCell ref="F245:F246"/>
    <mergeCell ref="G245:G246"/>
    <mergeCell ref="H245:H246"/>
    <mergeCell ref="E247:E248"/>
    <mergeCell ref="F247:F248"/>
    <mergeCell ref="G247:G248"/>
    <mergeCell ref="H247:H248"/>
    <mergeCell ref="E249:E250"/>
    <mergeCell ref="F249:F250"/>
    <mergeCell ref="AF239:AF240"/>
    <mergeCell ref="AE241:AE242"/>
    <mergeCell ref="AF241:AF242"/>
    <mergeCell ref="AC243:AC244"/>
    <mergeCell ref="AD243:AD244"/>
    <mergeCell ref="AE243:AE244"/>
    <mergeCell ref="AF243:AF244"/>
    <mergeCell ref="AE245:AE246"/>
    <mergeCell ref="AF245:AF246"/>
    <mergeCell ref="AC247:AC248"/>
    <mergeCell ref="AD247:AD248"/>
    <mergeCell ref="AE247:AE248"/>
    <mergeCell ref="AF247:AF248"/>
    <mergeCell ref="AC249:AC250"/>
    <mergeCell ref="AD249:AD250"/>
    <mergeCell ref="AE249:AE250"/>
    <mergeCell ref="AF249:AF250"/>
    <mergeCell ref="X247:X248"/>
    <mergeCell ref="Y247:Y248"/>
    <mergeCell ref="Z247:Z248"/>
    <mergeCell ref="W249:W250"/>
    <mergeCell ref="X249:X250"/>
    <mergeCell ref="G249:G250"/>
    <mergeCell ref="H249:H250"/>
    <mergeCell ref="E251:E252"/>
    <mergeCell ref="F251:F252"/>
    <mergeCell ref="G251:G252"/>
    <mergeCell ref="H251:H252"/>
    <mergeCell ref="E253:E254"/>
    <mergeCell ref="F253:F254"/>
    <mergeCell ref="G253:G254"/>
    <mergeCell ref="H253:H254"/>
    <mergeCell ref="AE251:AE252"/>
    <mergeCell ref="AF251:AF252"/>
    <mergeCell ref="AC253:AC254"/>
    <mergeCell ref="AD253:AD254"/>
    <mergeCell ref="AE253:AE254"/>
    <mergeCell ref="AF253:AF254"/>
    <mergeCell ref="E237:E238"/>
    <mergeCell ref="F237:F238"/>
    <mergeCell ref="G237:G238"/>
    <mergeCell ref="H237:H238"/>
    <mergeCell ref="E239:E240"/>
    <mergeCell ref="F239:F240"/>
    <mergeCell ref="G239:G240"/>
    <mergeCell ref="H239:H240"/>
    <mergeCell ref="E241:E242"/>
    <mergeCell ref="F241:F242"/>
    <mergeCell ref="G241:G242"/>
    <mergeCell ref="H241:H242"/>
    <mergeCell ref="E243:E244"/>
    <mergeCell ref="F243:F244"/>
    <mergeCell ref="G243:G244"/>
    <mergeCell ref="H243:H244"/>
  </mergeCells>
  <pageMargins left="0.43" right="0.42" top="0.4" bottom="0.48" header="0.3" footer="0.3"/>
  <pageSetup paperSize="9" scale="8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7D560-6098-463D-84B5-638FA3FE8F5A}">
  <dimension ref="A1:AH256"/>
  <sheetViews>
    <sheetView zoomScaleNormal="100" zoomScaleSheetLayoutView="100" workbookViewId="0">
      <pane xSplit="3" ySplit="12" topLeftCell="D218" activePane="bottomRight" state="frozen"/>
      <selection pane="topRight" activeCell="M1" sqref="M1"/>
      <selection pane="bottomLeft" activeCell="A13" sqref="A13"/>
      <selection pane="bottomRight" activeCell="E213" sqref="E213:H218"/>
    </sheetView>
  </sheetViews>
  <sheetFormatPr defaultColWidth="9.109375" defaultRowHeight="10.199999999999999" x14ac:dyDescent="0.2"/>
  <cols>
    <col min="1" max="1" width="2.44140625" style="11" customWidth="1"/>
    <col min="2" max="2" width="27.21875" style="31" customWidth="1"/>
    <col min="3" max="3" width="6.109375" style="11" customWidth="1"/>
    <col min="4" max="4" width="5.21875" style="11" customWidth="1"/>
    <col min="5" max="34" width="4.77734375" style="11" customWidth="1"/>
    <col min="35" max="16384" width="9.109375" style="11"/>
  </cols>
  <sheetData>
    <row r="1" spans="1:34" ht="15.75" customHeight="1" x14ac:dyDescent="0.2">
      <c r="A1" s="9"/>
      <c r="B1" s="10"/>
      <c r="C1" s="9"/>
      <c r="D1" s="9"/>
    </row>
    <row r="2" spans="1:34" ht="15.75" customHeight="1" x14ac:dyDescent="0.2">
      <c r="A2" s="297" t="s">
        <v>51</v>
      </c>
      <c r="B2" s="297"/>
      <c r="C2" s="297"/>
      <c r="D2" s="269"/>
      <c r="E2" s="269"/>
      <c r="F2" s="269"/>
      <c r="G2" s="269"/>
      <c r="H2" s="269"/>
      <c r="I2" s="269"/>
      <c r="J2" s="269"/>
      <c r="K2" s="269"/>
      <c r="L2" s="269"/>
      <c r="M2" s="269"/>
    </row>
    <row r="3" spans="1:34" ht="15.75" customHeight="1" x14ac:dyDescent="0.2">
      <c r="A3" s="297" t="s">
        <v>50</v>
      </c>
      <c r="B3" s="297"/>
      <c r="C3" s="297"/>
      <c r="D3" s="269"/>
      <c r="E3" s="269"/>
      <c r="F3" s="269"/>
      <c r="G3" s="269"/>
      <c r="H3" s="269"/>
      <c r="I3" s="269"/>
      <c r="J3" s="269"/>
      <c r="K3" s="269"/>
      <c r="L3" s="269"/>
      <c r="M3" s="269"/>
    </row>
    <row r="4" spans="1:34" ht="15.75" customHeight="1" x14ac:dyDescent="0.2">
      <c r="A4" s="297" t="s">
        <v>60</v>
      </c>
      <c r="B4" s="297"/>
      <c r="C4" s="297"/>
      <c r="D4" s="12"/>
    </row>
    <row r="5" spans="1:34" ht="15.75" customHeight="1" x14ac:dyDescent="0.2">
      <c r="A5" s="271" t="s">
        <v>148</v>
      </c>
      <c r="B5" s="269"/>
      <c r="C5" s="14"/>
      <c r="D5" s="14"/>
      <c r="Q5" s="11" t="s">
        <v>74</v>
      </c>
      <c r="R5" s="15"/>
      <c r="W5" s="11" t="s">
        <v>74</v>
      </c>
      <c r="Y5" s="278"/>
      <c r="AC5" s="11" t="s">
        <v>74</v>
      </c>
    </row>
    <row r="6" spans="1:34" ht="15.75" customHeight="1" x14ac:dyDescent="0.2">
      <c r="A6" s="271" t="s">
        <v>154</v>
      </c>
      <c r="B6" s="269"/>
      <c r="C6" s="9"/>
      <c r="D6" s="9"/>
      <c r="I6" s="16"/>
      <c r="J6" s="16"/>
      <c r="O6" s="16"/>
      <c r="U6" s="16"/>
      <c r="V6" s="16"/>
      <c r="Y6" s="278"/>
      <c r="AA6" s="16"/>
      <c r="AB6" s="16"/>
      <c r="AG6" s="16"/>
      <c r="AH6" s="16"/>
    </row>
    <row r="7" spans="1:34" x14ac:dyDescent="0.2">
      <c r="A7" s="268"/>
      <c r="B7" s="268"/>
      <c r="C7" s="268"/>
    </row>
    <row r="8" spans="1:34" x14ac:dyDescent="0.2">
      <c r="A8" s="268" t="s">
        <v>163</v>
      </c>
      <c r="B8" s="268"/>
      <c r="C8" s="268"/>
      <c r="D8" s="269"/>
      <c r="E8" s="269"/>
      <c r="F8" s="269"/>
      <c r="G8" s="269"/>
      <c r="H8" s="269"/>
      <c r="I8" s="269"/>
      <c r="J8" s="269"/>
      <c r="K8" s="269"/>
      <c r="L8" s="269"/>
      <c r="M8" s="269"/>
      <c r="N8" s="326"/>
      <c r="O8" s="326"/>
      <c r="P8" s="326"/>
    </row>
    <row r="9" spans="1:34" ht="15" customHeight="1" thickBot="1" x14ac:dyDescent="0.25">
      <c r="A9" s="212"/>
      <c r="B9" s="10"/>
      <c r="C9" s="9"/>
      <c r="D9" s="9"/>
    </row>
    <row r="10" spans="1:34" x14ac:dyDescent="0.2">
      <c r="A10" s="134"/>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05"/>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ht="10.8" thickBot="1" x14ac:dyDescent="0.25">
      <c r="A12" s="115"/>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ht="10.8" thickBot="1" x14ac:dyDescent="0.25">
      <c r="A13" s="133">
        <v>0</v>
      </c>
      <c r="B13" s="18">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34">
        <v>1.1000000000000001</v>
      </c>
      <c r="B14" s="50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37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380"/>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380"/>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380"/>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380"/>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380"/>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380"/>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380"/>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380"/>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380"/>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380"/>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380"/>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380"/>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380"/>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380"/>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380"/>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380"/>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380"/>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380"/>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380"/>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380"/>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380"/>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380"/>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385"/>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ht="10.8" thickBot="1" x14ac:dyDescent="0.25">
      <c r="A39" s="105">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37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380"/>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380"/>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380"/>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380"/>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380"/>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380"/>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380"/>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380"/>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380"/>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380"/>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380"/>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380"/>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380"/>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380"/>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380"/>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380"/>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ht="10.8" thickBot="1" x14ac:dyDescent="0.25">
      <c r="A57" s="385"/>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ht="10.8" thickBot="1" x14ac:dyDescent="0.25">
      <c r="A58" s="105">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37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380"/>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380"/>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380"/>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380"/>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380"/>
      <c r="B64" s="294"/>
      <c r="C64" s="294"/>
      <c r="D64" s="251"/>
      <c r="E64" s="254"/>
      <c r="F64" s="254"/>
      <c r="G64" s="254"/>
      <c r="H64" s="254"/>
      <c r="I64" s="19"/>
      <c r="J64" s="254"/>
      <c r="K64" s="254"/>
      <c r="L64" s="254"/>
      <c r="M64" s="254"/>
      <c r="N64" s="254"/>
      <c r="O64" s="19"/>
      <c r="P64" s="254"/>
      <c r="Q64" s="254"/>
      <c r="R64" s="254"/>
      <c r="S64" s="254"/>
      <c r="T64" s="254"/>
      <c r="U64" s="19"/>
      <c r="V64" s="254"/>
      <c r="W64" s="254"/>
      <c r="X64" s="254"/>
      <c r="Y64" s="254"/>
      <c r="Z64" s="254"/>
      <c r="AA64" s="19"/>
      <c r="AB64" s="254"/>
      <c r="AC64" s="254"/>
      <c r="AD64" s="254"/>
      <c r="AE64" s="254"/>
      <c r="AF64" s="254"/>
      <c r="AG64" s="19"/>
      <c r="AH64" s="254"/>
    </row>
    <row r="65" spans="1:34" x14ac:dyDescent="0.2">
      <c r="A65" s="380"/>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380"/>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380"/>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380"/>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380"/>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380"/>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404"/>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ht="10.8" thickBot="1" x14ac:dyDescent="0.25">
      <c r="A72" s="40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ht="10.8" thickBot="1" x14ac:dyDescent="0.25">
      <c r="A73" s="105">
        <v>1.4</v>
      </c>
      <c r="B73" s="305" t="s">
        <v>16</v>
      </c>
      <c r="C73" s="30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row>
    <row r="74" spans="1:34" x14ac:dyDescent="0.2">
      <c r="A74" s="37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380"/>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380"/>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380"/>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380"/>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ht="10.8" thickBot="1" x14ac:dyDescent="0.25">
      <c r="A79" s="385"/>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ht="10.8" thickBot="1" x14ac:dyDescent="0.25">
      <c r="A80" s="115">
        <v>1.5</v>
      </c>
      <c r="B80" s="305" t="s">
        <v>19</v>
      </c>
      <c r="C80" s="305"/>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34" ht="10.8" thickBot="1" x14ac:dyDescent="0.25">
      <c r="A81" s="213" t="s">
        <v>41</v>
      </c>
      <c r="B81" s="305" t="s">
        <v>20</v>
      </c>
      <c r="C81" s="30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row>
    <row r="82" spans="1:34" ht="35.4" customHeight="1" x14ac:dyDescent="0.2">
      <c r="A82" s="517"/>
      <c r="B82" s="33" t="s">
        <v>95</v>
      </c>
      <c r="C82" s="34"/>
      <c r="D82" s="24" t="s">
        <v>135</v>
      </c>
      <c r="E82" s="35">
        <v>11</v>
      </c>
      <c r="F82" s="35">
        <v>11</v>
      </c>
      <c r="G82" s="35">
        <v>11</v>
      </c>
      <c r="H82" s="35">
        <v>12</v>
      </c>
      <c r="I82" s="35"/>
      <c r="J82" s="35">
        <v>45</v>
      </c>
      <c r="K82" s="35">
        <v>11</v>
      </c>
      <c r="L82" s="35">
        <v>11</v>
      </c>
      <c r="M82" s="35">
        <v>11</v>
      </c>
      <c r="N82" s="35">
        <v>12</v>
      </c>
      <c r="O82" s="36"/>
      <c r="P82" s="35">
        <v>45</v>
      </c>
      <c r="Q82" s="35">
        <v>11</v>
      </c>
      <c r="R82" s="35">
        <v>11</v>
      </c>
      <c r="S82" s="35">
        <v>11</v>
      </c>
      <c r="T82" s="35">
        <v>12</v>
      </c>
      <c r="U82" s="35"/>
      <c r="V82" s="35">
        <v>45</v>
      </c>
      <c r="W82" s="35">
        <v>11</v>
      </c>
      <c r="X82" s="35">
        <v>11</v>
      </c>
      <c r="Y82" s="35">
        <v>11</v>
      </c>
      <c r="Z82" s="35">
        <v>12</v>
      </c>
      <c r="AA82" s="36"/>
      <c r="AB82" s="35">
        <v>45</v>
      </c>
      <c r="AC82" s="35">
        <v>11</v>
      </c>
      <c r="AD82" s="35">
        <v>11</v>
      </c>
      <c r="AE82" s="35">
        <v>11</v>
      </c>
      <c r="AF82" s="35">
        <v>12</v>
      </c>
      <c r="AG82" s="35"/>
      <c r="AH82" s="35">
        <v>45</v>
      </c>
    </row>
    <row r="83" spans="1:34" ht="15.75" customHeight="1" x14ac:dyDescent="0.2">
      <c r="A83" s="518"/>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518"/>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518"/>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518"/>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518"/>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518"/>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518"/>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518"/>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518"/>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518"/>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518"/>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518"/>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518"/>
      <c r="B95" s="284" t="s">
        <v>97</v>
      </c>
      <c r="C95" s="265"/>
      <c r="D95" s="24" t="s">
        <v>135</v>
      </c>
      <c r="E95" s="162">
        <v>17</v>
      </c>
      <c r="F95" s="162">
        <v>17</v>
      </c>
      <c r="G95" s="162">
        <v>17</v>
      </c>
      <c r="H95" s="162">
        <v>19</v>
      </c>
      <c r="I95" s="35"/>
      <c r="J95" s="35">
        <v>70</v>
      </c>
      <c r="K95" s="35">
        <v>17</v>
      </c>
      <c r="L95" s="35">
        <v>17</v>
      </c>
      <c r="M95" s="35">
        <v>17</v>
      </c>
      <c r="N95" s="35">
        <v>19</v>
      </c>
      <c r="O95" s="35"/>
      <c r="P95" s="35">
        <v>70</v>
      </c>
      <c r="Q95" s="162">
        <v>17</v>
      </c>
      <c r="R95" s="162">
        <v>17</v>
      </c>
      <c r="S95" s="162">
        <v>17</v>
      </c>
      <c r="T95" s="162">
        <v>19</v>
      </c>
      <c r="U95" s="35"/>
      <c r="V95" s="35">
        <v>70</v>
      </c>
      <c r="W95" s="162">
        <v>17</v>
      </c>
      <c r="X95" s="162">
        <v>17</v>
      </c>
      <c r="Y95" s="162">
        <v>17</v>
      </c>
      <c r="Z95" s="162">
        <v>19</v>
      </c>
      <c r="AA95" s="162"/>
      <c r="AB95" s="35">
        <v>70</v>
      </c>
      <c r="AC95" s="162">
        <v>17</v>
      </c>
      <c r="AD95" s="162">
        <v>17</v>
      </c>
      <c r="AE95" s="162">
        <v>17</v>
      </c>
      <c r="AF95" s="162">
        <v>19</v>
      </c>
      <c r="AG95" s="35"/>
      <c r="AH95" s="35">
        <v>70</v>
      </c>
    </row>
    <row r="96" spans="1:34" ht="15.75" customHeight="1" x14ac:dyDescent="0.2">
      <c r="A96" s="518"/>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518"/>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518"/>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518"/>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518"/>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518"/>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518"/>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518"/>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518"/>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518"/>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518"/>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thickBot="1" x14ac:dyDescent="0.25">
      <c r="A107" s="51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ht="10.8" thickBot="1" x14ac:dyDescent="0.25">
      <c r="A108" s="105"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ht="10.8" thickBot="1" x14ac:dyDescent="0.25">
      <c r="A109" s="520"/>
      <c r="B109" s="298" t="s">
        <v>23</v>
      </c>
      <c r="C109" s="298"/>
      <c r="D109" s="24" t="s">
        <v>135</v>
      </c>
      <c r="E109" s="23">
        <v>12</v>
      </c>
      <c r="F109" s="23">
        <v>12</v>
      </c>
      <c r="G109" s="23">
        <v>12</v>
      </c>
      <c r="H109" s="23">
        <v>14</v>
      </c>
      <c r="I109" s="26"/>
      <c r="J109" s="41">
        <v>50</v>
      </c>
      <c r="K109" s="23">
        <v>12</v>
      </c>
      <c r="L109" s="23">
        <v>12</v>
      </c>
      <c r="M109" s="23">
        <v>12</v>
      </c>
      <c r="N109" s="23">
        <v>14</v>
      </c>
      <c r="O109" s="26"/>
      <c r="P109" s="41">
        <v>50</v>
      </c>
      <c r="Q109" s="23">
        <v>12</v>
      </c>
      <c r="R109" s="23">
        <v>12</v>
      </c>
      <c r="S109" s="23">
        <v>12</v>
      </c>
      <c r="T109" s="23">
        <v>14</v>
      </c>
      <c r="U109" s="26"/>
      <c r="V109" s="41">
        <v>50</v>
      </c>
      <c r="W109" s="23">
        <v>12</v>
      </c>
      <c r="X109" s="23">
        <v>12</v>
      </c>
      <c r="Y109" s="23">
        <v>12</v>
      </c>
      <c r="Z109" s="23">
        <v>14</v>
      </c>
      <c r="AA109" s="26"/>
      <c r="AB109" s="41">
        <v>50</v>
      </c>
      <c r="AC109" s="23">
        <v>12</v>
      </c>
      <c r="AD109" s="23">
        <v>12</v>
      </c>
      <c r="AE109" s="23">
        <v>12</v>
      </c>
      <c r="AF109" s="23">
        <v>14</v>
      </c>
      <c r="AG109" s="26"/>
      <c r="AH109" s="41">
        <v>50</v>
      </c>
    </row>
    <row r="110" spans="1:34" ht="10.8" thickBot="1" x14ac:dyDescent="0.25">
      <c r="A110" s="520"/>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ht="10.8" thickBot="1" x14ac:dyDescent="0.25">
      <c r="A111" s="520"/>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thickBot="1" x14ac:dyDescent="0.25">
      <c r="A112" s="520"/>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thickBot="1" x14ac:dyDescent="0.25">
      <c r="A113" s="520"/>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thickBot="1" x14ac:dyDescent="0.25">
      <c r="A114" s="520"/>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thickBot="1" x14ac:dyDescent="0.25">
      <c r="A115" s="520"/>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thickBot="1" x14ac:dyDescent="0.25">
      <c r="A116" s="520"/>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thickBot="1" x14ac:dyDescent="0.25">
      <c r="A117" s="520"/>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thickBot="1" x14ac:dyDescent="0.25">
      <c r="A118" s="520"/>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thickBot="1" x14ac:dyDescent="0.25">
      <c r="A119" s="520"/>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thickBot="1" x14ac:dyDescent="0.25">
      <c r="A120" s="520"/>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thickBot="1" x14ac:dyDescent="0.25">
      <c r="A121" s="520"/>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thickBot="1" x14ac:dyDescent="0.25">
      <c r="A122" s="520"/>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thickBot="1" x14ac:dyDescent="0.25">
      <c r="A123" s="520"/>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thickBot="1" x14ac:dyDescent="0.35">
      <c r="A124" s="105" t="s">
        <v>24</v>
      </c>
      <c r="B124" s="279" t="s">
        <v>25</v>
      </c>
      <c r="C124" s="505"/>
      <c r="D124" s="276"/>
      <c r="E124" s="276"/>
      <c r="F124" s="276"/>
      <c r="G124" s="276"/>
      <c r="H124" s="276"/>
      <c r="I124" s="276"/>
      <c r="J124" s="276"/>
      <c r="K124" s="276"/>
      <c r="L124" s="276"/>
      <c r="M124" s="276"/>
      <c r="N124" s="276"/>
      <c r="O124" s="276"/>
      <c r="P124" s="276"/>
      <c r="Q124" s="276"/>
      <c r="R124" s="276"/>
      <c r="S124" s="276"/>
      <c r="T124" s="276"/>
      <c r="U124" s="276"/>
      <c r="V124" s="276"/>
      <c r="W124" s="276"/>
      <c r="X124" s="276"/>
      <c r="Y124" s="276"/>
      <c r="Z124" s="276"/>
      <c r="AA124" s="276"/>
      <c r="AB124" s="276"/>
      <c r="AC124" s="276"/>
      <c r="AD124" s="276"/>
      <c r="AE124" s="276"/>
      <c r="AF124" s="276"/>
      <c r="AG124" s="276"/>
      <c r="AH124" s="277"/>
    </row>
    <row r="125" spans="1:34" ht="15.75" customHeight="1" x14ac:dyDescent="0.2">
      <c r="A125" s="379"/>
      <c r="B125" s="284" t="s">
        <v>137</v>
      </c>
      <c r="C125" s="289"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380"/>
      <c r="B126" s="284"/>
      <c r="C126" s="289"/>
      <c r="D126" s="251"/>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row>
    <row r="127" spans="1:34" ht="15.75" customHeight="1" x14ac:dyDescent="0.2">
      <c r="A127" s="380"/>
      <c r="B127" s="284"/>
      <c r="C127" s="289"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380"/>
      <c r="B128" s="284"/>
      <c r="C128" s="289"/>
      <c r="D128" s="251"/>
      <c r="E128" s="254"/>
      <c r="F128" s="254"/>
      <c r="G128" s="254"/>
      <c r="H128" s="254"/>
      <c r="I128" s="256"/>
      <c r="J128" s="254"/>
      <c r="K128" s="254"/>
      <c r="L128" s="254"/>
      <c r="M128" s="254"/>
      <c r="N128" s="254"/>
      <c r="O128" s="256"/>
      <c r="P128" s="254"/>
      <c r="Q128" s="254"/>
      <c r="R128" s="254"/>
      <c r="S128" s="254"/>
      <c r="T128" s="254"/>
      <c r="U128" s="256"/>
      <c r="V128" s="254"/>
      <c r="W128" s="254"/>
      <c r="X128" s="254"/>
      <c r="Y128" s="254"/>
      <c r="Z128" s="254"/>
      <c r="AA128" s="256"/>
      <c r="AB128" s="254"/>
      <c r="AC128" s="254"/>
      <c r="AD128" s="254"/>
      <c r="AE128" s="254"/>
      <c r="AF128" s="254"/>
      <c r="AG128" s="256"/>
      <c r="AH128" s="254"/>
    </row>
    <row r="129" spans="1:34" ht="15.75" customHeight="1" x14ac:dyDescent="0.2">
      <c r="A129" s="380"/>
      <c r="B129" s="284"/>
      <c r="C129" s="289"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380"/>
      <c r="B130" s="284"/>
      <c r="C130" s="289"/>
      <c r="D130" s="251"/>
      <c r="E130" s="254"/>
      <c r="F130" s="254"/>
      <c r="G130" s="254"/>
      <c r="H130" s="254"/>
      <c r="I130" s="256"/>
      <c r="J130" s="254"/>
      <c r="K130" s="254"/>
      <c r="L130" s="254"/>
      <c r="M130" s="254"/>
      <c r="N130" s="254"/>
      <c r="O130" s="256"/>
      <c r="P130" s="254"/>
      <c r="Q130" s="254"/>
      <c r="R130" s="254"/>
      <c r="S130" s="254"/>
      <c r="T130" s="254"/>
      <c r="U130" s="256"/>
      <c r="V130" s="254"/>
      <c r="W130" s="254"/>
      <c r="X130" s="254"/>
      <c r="Y130" s="254"/>
      <c r="Z130" s="254"/>
      <c r="AA130" s="256"/>
      <c r="AB130" s="254"/>
      <c r="AC130" s="254"/>
      <c r="AD130" s="254"/>
      <c r="AE130" s="254"/>
      <c r="AF130" s="254"/>
      <c r="AG130" s="256"/>
      <c r="AH130" s="254"/>
    </row>
    <row r="131" spans="1:34" ht="15.75" customHeight="1" x14ac:dyDescent="0.2">
      <c r="A131" s="380"/>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380"/>
      <c r="B132" s="284"/>
      <c r="C132" s="273"/>
      <c r="D132" s="251"/>
      <c r="E132" s="254"/>
      <c r="F132" s="254"/>
      <c r="G132" s="254"/>
      <c r="H132" s="254"/>
      <c r="I132" s="256"/>
      <c r="J132" s="254"/>
      <c r="K132" s="254"/>
      <c r="L132" s="254"/>
      <c r="M132" s="254"/>
      <c r="N132" s="254"/>
      <c r="O132" s="256"/>
      <c r="P132" s="254"/>
      <c r="Q132" s="254"/>
      <c r="R132" s="254"/>
      <c r="S132" s="254"/>
      <c r="T132" s="254"/>
      <c r="U132" s="256"/>
      <c r="V132" s="254"/>
      <c r="W132" s="254"/>
      <c r="X132" s="254"/>
      <c r="Y132" s="254"/>
      <c r="Z132" s="254"/>
      <c r="AA132" s="256"/>
      <c r="AB132" s="254"/>
      <c r="AC132" s="254"/>
      <c r="AD132" s="254"/>
      <c r="AE132" s="254"/>
      <c r="AF132" s="254"/>
      <c r="AG132" s="256"/>
      <c r="AH132" s="254"/>
    </row>
    <row r="133" spans="1:34" ht="15.75" customHeight="1" x14ac:dyDescent="0.2">
      <c r="A133" s="380"/>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380"/>
      <c r="B134" s="284"/>
      <c r="C134" s="273"/>
      <c r="D134" s="251"/>
      <c r="E134" s="252"/>
      <c r="F134" s="252"/>
      <c r="G134" s="252"/>
      <c r="H134" s="252"/>
      <c r="I134" s="256"/>
      <c r="J134" s="252"/>
      <c r="K134" s="252"/>
      <c r="L134" s="252"/>
      <c r="M134" s="252"/>
      <c r="N134" s="252"/>
      <c r="O134" s="256"/>
      <c r="P134" s="252"/>
      <c r="Q134" s="252"/>
      <c r="R134" s="252"/>
      <c r="S134" s="252"/>
      <c r="T134" s="252"/>
      <c r="U134" s="256"/>
      <c r="V134" s="252"/>
      <c r="W134" s="252"/>
      <c r="X134" s="252"/>
      <c r="Y134" s="252"/>
      <c r="Z134" s="252"/>
      <c r="AA134" s="256"/>
      <c r="AB134" s="252"/>
      <c r="AC134" s="252"/>
      <c r="AD134" s="252"/>
      <c r="AE134" s="252"/>
      <c r="AF134" s="252"/>
      <c r="AG134" s="256"/>
      <c r="AH134" s="252"/>
    </row>
    <row r="135" spans="1:34" ht="15.75" customHeight="1" x14ac:dyDescent="0.2">
      <c r="A135" s="380"/>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380"/>
      <c r="B136" s="284"/>
      <c r="C136" s="273"/>
      <c r="D136" s="251"/>
      <c r="E136" s="254"/>
      <c r="F136" s="254"/>
      <c r="G136" s="254"/>
      <c r="H136" s="254"/>
      <c r="I136" s="256"/>
      <c r="J136" s="254"/>
      <c r="K136" s="254"/>
      <c r="L136" s="254"/>
      <c r="M136" s="254"/>
      <c r="N136" s="254"/>
      <c r="O136" s="256"/>
      <c r="P136" s="254"/>
      <c r="Q136" s="254"/>
      <c r="R136" s="254"/>
      <c r="S136" s="254"/>
      <c r="T136" s="254"/>
      <c r="U136" s="256"/>
      <c r="V136" s="254"/>
      <c r="W136" s="254"/>
      <c r="X136" s="254"/>
      <c r="Y136" s="254"/>
      <c r="Z136" s="254"/>
      <c r="AA136" s="256"/>
      <c r="AB136" s="254"/>
      <c r="AC136" s="254"/>
      <c r="AD136" s="254"/>
      <c r="AE136" s="254"/>
      <c r="AF136" s="254"/>
      <c r="AG136" s="256"/>
      <c r="AH136" s="254"/>
    </row>
    <row r="137" spans="1:34" ht="15.75" customHeight="1" x14ac:dyDescent="0.2">
      <c r="A137" s="380"/>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380"/>
      <c r="B138" s="284"/>
      <c r="C138" s="291"/>
      <c r="D138" s="251"/>
      <c r="E138" s="254"/>
      <c r="F138" s="254"/>
      <c r="G138" s="254"/>
      <c r="H138" s="254"/>
      <c r="I138" s="256"/>
      <c r="J138" s="254"/>
      <c r="K138" s="254"/>
      <c r="L138" s="254"/>
      <c r="M138" s="254"/>
      <c r="N138" s="254"/>
      <c r="O138" s="256"/>
      <c r="P138" s="254"/>
      <c r="Q138" s="254"/>
      <c r="R138" s="254"/>
      <c r="S138" s="254"/>
      <c r="T138" s="254"/>
      <c r="U138" s="256"/>
      <c r="V138" s="254"/>
      <c r="W138" s="254"/>
      <c r="X138" s="254"/>
      <c r="Y138" s="254"/>
      <c r="Z138" s="254"/>
      <c r="AA138" s="256"/>
      <c r="AB138" s="254"/>
      <c r="AC138" s="254"/>
      <c r="AD138" s="254"/>
      <c r="AE138" s="254"/>
      <c r="AF138" s="254"/>
      <c r="AG138" s="256"/>
      <c r="AH138" s="254"/>
    </row>
    <row r="139" spans="1:34" ht="15.75" customHeight="1" x14ac:dyDescent="0.2">
      <c r="A139" s="380"/>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380"/>
      <c r="B140" s="284"/>
      <c r="C140" s="291"/>
      <c r="D140" s="251"/>
      <c r="E140" s="252"/>
      <c r="F140" s="252"/>
      <c r="G140" s="252"/>
      <c r="H140" s="252"/>
      <c r="I140" s="256"/>
      <c r="J140" s="252"/>
      <c r="K140" s="252"/>
      <c r="L140" s="252"/>
      <c r="M140" s="252"/>
      <c r="N140" s="252"/>
      <c r="O140" s="256"/>
      <c r="P140" s="252"/>
      <c r="Q140" s="252"/>
      <c r="R140" s="252"/>
      <c r="S140" s="252"/>
      <c r="T140" s="252"/>
      <c r="U140" s="256"/>
      <c r="V140" s="252"/>
      <c r="W140" s="252"/>
      <c r="X140" s="252"/>
      <c r="Y140" s="252"/>
      <c r="Z140" s="252"/>
      <c r="AA140" s="256"/>
      <c r="AB140" s="252"/>
      <c r="AC140" s="252"/>
      <c r="AD140" s="252"/>
      <c r="AE140" s="252"/>
      <c r="AF140" s="252"/>
      <c r="AG140" s="256"/>
      <c r="AH140" s="252"/>
    </row>
    <row r="141" spans="1:34" ht="15.75" customHeight="1" x14ac:dyDescent="0.2">
      <c r="A141" s="380"/>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380"/>
      <c r="B142" s="284"/>
      <c r="C142" s="291"/>
      <c r="D142" s="251"/>
      <c r="E142" s="254"/>
      <c r="F142" s="254"/>
      <c r="G142" s="254"/>
      <c r="H142" s="254"/>
      <c r="I142" s="256"/>
      <c r="J142" s="254"/>
      <c r="K142" s="254"/>
      <c r="L142" s="254"/>
      <c r="M142" s="254"/>
      <c r="N142" s="254"/>
      <c r="O142" s="256"/>
      <c r="P142" s="254"/>
      <c r="Q142" s="254"/>
      <c r="R142" s="254"/>
      <c r="S142" s="254"/>
      <c r="T142" s="254"/>
      <c r="U142" s="256"/>
      <c r="V142" s="254"/>
      <c r="W142" s="254"/>
      <c r="X142" s="254"/>
      <c r="Y142" s="254"/>
      <c r="Z142" s="254"/>
      <c r="AA142" s="256"/>
      <c r="AB142" s="254"/>
      <c r="AC142" s="254"/>
      <c r="AD142" s="254"/>
      <c r="AE142" s="254"/>
      <c r="AF142" s="254"/>
      <c r="AG142" s="256"/>
      <c r="AH142" s="254"/>
    </row>
    <row r="143" spans="1:34" x14ac:dyDescent="0.2">
      <c r="A143" s="380"/>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380"/>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380"/>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380"/>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0.199999999999999" customHeight="1" x14ac:dyDescent="0.2">
      <c r="A147" s="380"/>
      <c r="B147" s="284"/>
      <c r="C147" s="273"/>
      <c r="D147" s="251"/>
      <c r="E147" s="252"/>
      <c r="F147" s="252"/>
      <c r="G147" s="252"/>
      <c r="H147" s="252"/>
      <c r="I147" s="256"/>
      <c r="J147" s="252"/>
      <c r="K147" s="252"/>
      <c r="L147" s="252"/>
      <c r="M147" s="252"/>
      <c r="N147" s="252"/>
      <c r="O147" s="256"/>
      <c r="P147" s="252"/>
      <c r="Q147" s="252"/>
      <c r="R147" s="252"/>
      <c r="S147" s="252"/>
      <c r="T147" s="252"/>
      <c r="U147" s="256"/>
      <c r="V147" s="252"/>
      <c r="W147" s="252"/>
      <c r="X147" s="252"/>
      <c r="Y147" s="252"/>
      <c r="Z147" s="252"/>
      <c r="AA147" s="256"/>
      <c r="AB147" s="252"/>
      <c r="AC147" s="252"/>
      <c r="AD147" s="252"/>
      <c r="AE147" s="252"/>
      <c r="AF147" s="252"/>
      <c r="AG147" s="256"/>
      <c r="AH147" s="252"/>
    </row>
    <row r="148" spans="1:34" ht="15.75" customHeight="1" x14ac:dyDescent="0.2">
      <c r="A148" s="380"/>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380"/>
      <c r="B149" s="284"/>
      <c r="C149" s="291"/>
      <c r="D149" s="251"/>
      <c r="E149" s="252"/>
      <c r="F149" s="252"/>
      <c r="G149" s="252"/>
      <c r="H149" s="252"/>
      <c r="I149" s="256"/>
      <c r="J149" s="252"/>
      <c r="K149" s="252"/>
      <c r="L149" s="252"/>
      <c r="M149" s="252"/>
      <c r="N149" s="252"/>
      <c r="O149" s="256"/>
      <c r="P149" s="252"/>
      <c r="Q149" s="252"/>
      <c r="R149" s="252"/>
      <c r="S149" s="252"/>
      <c r="T149" s="252"/>
      <c r="U149" s="256"/>
      <c r="V149" s="252"/>
      <c r="W149" s="252"/>
      <c r="X149" s="252"/>
      <c r="Y149" s="252"/>
      <c r="Z149" s="252"/>
      <c r="AA149" s="256"/>
      <c r="AB149" s="252"/>
      <c r="AC149" s="252"/>
      <c r="AD149" s="252"/>
      <c r="AE149" s="252"/>
      <c r="AF149" s="252"/>
      <c r="AG149" s="256"/>
      <c r="AH149" s="252"/>
    </row>
    <row r="150" spans="1:34" ht="15.75" customHeight="1" thickBot="1" x14ac:dyDescent="0.25">
      <c r="A150" s="385"/>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129"/>
      <c r="B151" s="284"/>
      <c r="C151" s="273"/>
      <c r="D151" s="251"/>
      <c r="E151" s="252"/>
      <c r="F151" s="252"/>
      <c r="G151" s="252"/>
      <c r="H151" s="252"/>
      <c r="I151" s="256"/>
      <c r="J151" s="252"/>
      <c r="K151" s="252"/>
      <c r="L151" s="252"/>
      <c r="M151" s="252"/>
      <c r="N151" s="252"/>
      <c r="O151" s="256"/>
      <c r="P151" s="252"/>
      <c r="Q151" s="252"/>
      <c r="R151" s="252"/>
      <c r="S151" s="252"/>
      <c r="T151" s="252"/>
      <c r="U151" s="256"/>
      <c r="V151" s="252"/>
      <c r="W151" s="252"/>
      <c r="X151" s="252"/>
      <c r="Y151" s="252"/>
      <c r="Z151" s="252"/>
      <c r="AA151" s="256"/>
      <c r="AB151" s="252"/>
      <c r="AC151" s="252"/>
      <c r="AD151" s="252"/>
      <c r="AE151" s="252"/>
      <c r="AF151" s="252"/>
      <c r="AG151" s="256"/>
      <c r="AH151" s="252"/>
    </row>
    <row r="152" spans="1:34" ht="10.8" thickBot="1" x14ac:dyDescent="0.25">
      <c r="A152" s="105">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39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394"/>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394"/>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394"/>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394"/>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394"/>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394"/>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394"/>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394"/>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394"/>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394"/>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394"/>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394"/>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394"/>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394"/>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394"/>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394"/>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thickBot="1" x14ac:dyDescent="0.25">
      <c r="A170" s="394"/>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395"/>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396"/>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396"/>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396"/>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396"/>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thickBot="1" x14ac:dyDescent="0.25">
      <c r="A176" s="397"/>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395"/>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396"/>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396"/>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396"/>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396"/>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thickBot="1" x14ac:dyDescent="0.25">
      <c r="A182" s="397"/>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5.75" customHeight="1" x14ac:dyDescent="0.2">
      <c r="A183" s="396"/>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396"/>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396"/>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396"/>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396"/>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thickBot="1" x14ac:dyDescent="0.25">
      <c r="A188" s="397"/>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ht="10.8" thickBot="1" x14ac:dyDescent="0.25">
      <c r="A189" s="214">
        <v>1.7</v>
      </c>
      <c r="B189" s="305" t="s">
        <v>28</v>
      </c>
      <c r="C189" s="305"/>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row>
    <row r="190" spans="1:34" ht="15" customHeight="1" x14ac:dyDescent="0.2">
      <c r="A190" s="37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380"/>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380"/>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thickBot="1" x14ac:dyDescent="0.25">
      <c r="A193" s="385"/>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ht="10.8" thickBot="1" x14ac:dyDescent="0.25">
      <c r="A194" s="124">
        <v>2</v>
      </c>
      <c r="B194" s="264" t="s">
        <v>29</v>
      </c>
      <c r="C194" s="264"/>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ht="15.75" customHeight="1" thickBot="1" x14ac:dyDescent="0.25">
      <c r="A195" s="125">
        <v>2.1</v>
      </c>
      <c r="B195" s="264" t="s">
        <v>30</v>
      </c>
      <c r="C195" s="264"/>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15.75" customHeight="1" x14ac:dyDescent="0.2">
      <c r="A196" s="379"/>
      <c r="B196" s="288" t="s">
        <v>142</v>
      </c>
      <c r="C196" s="288"/>
      <c r="D196" s="273" t="s">
        <v>78</v>
      </c>
      <c r="E196" s="254">
        <v>0.75960000000000005</v>
      </c>
      <c r="F196" s="254">
        <v>0.75960000000000005</v>
      </c>
      <c r="G196" s="254">
        <v>0.75960000000000005</v>
      </c>
      <c r="H196" s="254">
        <v>0.75960000000000005</v>
      </c>
      <c r="I196" s="254">
        <v>0.75960000000000005</v>
      </c>
      <c r="J196" s="254">
        <v>0.75960000000000005</v>
      </c>
      <c r="K196" s="254">
        <v>0.73960000000000004</v>
      </c>
      <c r="L196" s="254">
        <v>0.73960000000000004</v>
      </c>
      <c r="M196" s="254">
        <v>0.73960000000000004</v>
      </c>
      <c r="N196" s="254">
        <v>0.73960000000000004</v>
      </c>
      <c r="O196" s="45"/>
      <c r="P196" s="254">
        <v>0.73960000000000004</v>
      </c>
      <c r="Q196" s="254">
        <v>0.71960000000000002</v>
      </c>
      <c r="R196" s="254">
        <v>0.71960000000000002</v>
      </c>
      <c r="S196" s="254">
        <v>0.71960000000000002</v>
      </c>
      <c r="T196" s="254">
        <v>0.71960000000000002</v>
      </c>
      <c r="U196" s="45"/>
      <c r="V196" s="254">
        <v>0.71960000000000002</v>
      </c>
      <c r="W196" s="254">
        <v>0.6996</v>
      </c>
      <c r="X196" s="254">
        <v>0.6996</v>
      </c>
      <c r="Y196" s="254">
        <v>0.6996</v>
      </c>
      <c r="Z196" s="254">
        <v>0.6996</v>
      </c>
      <c r="AA196" s="45"/>
      <c r="AB196" s="254">
        <v>0.6996</v>
      </c>
      <c r="AC196" s="254">
        <v>0.28000000000000003</v>
      </c>
      <c r="AD196" s="254">
        <v>0.28000000000000003</v>
      </c>
      <c r="AE196" s="254">
        <v>0.28000000000000003</v>
      </c>
      <c r="AF196" s="254">
        <v>0.28000000000000003</v>
      </c>
      <c r="AG196" s="29"/>
      <c r="AH196" s="254">
        <v>0.28000000000000003</v>
      </c>
    </row>
    <row r="197" spans="1:34" ht="24" customHeight="1" x14ac:dyDescent="0.2">
      <c r="A197" s="380"/>
      <c r="B197" s="288"/>
      <c r="C197" s="288"/>
      <c r="D197" s="273"/>
      <c r="E197" s="254"/>
      <c r="F197" s="254"/>
      <c r="G197" s="254"/>
      <c r="H197" s="254"/>
      <c r="I197" s="254"/>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x14ac:dyDescent="0.2">
      <c r="A198" s="380"/>
      <c r="B198" s="296" t="s">
        <v>146</v>
      </c>
      <c r="C198" s="296"/>
      <c r="D198" s="273" t="s">
        <v>78</v>
      </c>
      <c r="E198" s="252">
        <v>1</v>
      </c>
      <c r="F198" s="252">
        <v>1</v>
      </c>
      <c r="G198" s="252">
        <v>1</v>
      </c>
      <c r="H198" s="252">
        <v>1</v>
      </c>
      <c r="I198" s="252">
        <v>1</v>
      </c>
      <c r="J198" s="252">
        <v>1</v>
      </c>
      <c r="K198" s="252">
        <v>1</v>
      </c>
      <c r="L198" s="252">
        <v>1</v>
      </c>
      <c r="M198" s="252">
        <v>1</v>
      </c>
      <c r="N198" s="252">
        <v>1</v>
      </c>
      <c r="O198" s="19"/>
      <c r="P198" s="252">
        <v>1</v>
      </c>
      <c r="Q198" s="252">
        <v>1</v>
      </c>
      <c r="R198" s="252">
        <v>1</v>
      </c>
      <c r="S198" s="252">
        <v>1</v>
      </c>
      <c r="T198" s="252">
        <v>1</v>
      </c>
      <c r="U198" s="19"/>
      <c r="V198" s="252">
        <v>1</v>
      </c>
      <c r="W198" s="252">
        <f>29.25/(29.25+0.944)</f>
        <v>0.96873551036629801</v>
      </c>
      <c r="X198" s="252">
        <f>29.25/(29.25+0.944)</f>
        <v>0.96873551036629801</v>
      </c>
      <c r="Y198" s="252">
        <f>29.25/(29.25+0.944)</f>
        <v>0.96873551036629801</v>
      </c>
      <c r="Z198" s="252">
        <f>29.25/(29.25+0.944)</f>
        <v>0.96873551036629801</v>
      </c>
      <c r="AA198" s="19"/>
      <c r="AB198" s="252">
        <f>29.25/(29.25+0.944)</f>
        <v>0.96873551036629801</v>
      </c>
      <c r="AC198" s="252">
        <v>1</v>
      </c>
      <c r="AD198" s="252">
        <v>1</v>
      </c>
      <c r="AE198" s="252">
        <v>1</v>
      </c>
      <c r="AF198" s="252">
        <v>1</v>
      </c>
      <c r="AG198" s="19"/>
      <c r="AH198" s="252">
        <v>1</v>
      </c>
    </row>
    <row r="199" spans="1:34" ht="26.25" customHeight="1" x14ac:dyDescent="0.2">
      <c r="A199" s="380"/>
      <c r="B199" s="296"/>
      <c r="C199" s="296"/>
      <c r="D199" s="273"/>
      <c r="E199" s="252"/>
      <c r="F199" s="252"/>
      <c r="G199" s="252"/>
      <c r="H199" s="252"/>
      <c r="I199" s="252"/>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x14ac:dyDescent="0.2">
      <c r="A200" s="380"/>
      <c r="B200" s="296" t="s">
        <v>147</v>
      </c>
      <c r="C200" s="296"/>
      <c r="D200" s="25" t="s">
        <v>100</v>
      </c>
      <c r="E200" s="250">
        <v>0.2</v>
      </c>
      <c r="F200" s="250">
        <v>0.2</v>
      </c>
      <c r="G200" s="250">
        <v>0.2</v>
      </c>
      <c r="H200" s="250">
        <v>0.2</v>
      </c>
      <c r="I200" s="250">
        <v>0.2</v>
      </c>
      <c r="J200" s="250">
        <v>0.2</v>
      </c>
      <c r="K200" s="250">
        <v>0.2</v>
      </c>
      <c r="L200" s="250">
        <v>0.2</v>
      </c>
      <c r="M200" s="250">
        <v>0.2</v>
      </c>
      <c r="N200" s="250">
        <v>0.2</v>
      </c>
      <c r="O200" s="26"/>
      <c r="P200" s="250">
        <v>0.2</v>
      </c>
      <c r="Q200" s="250">
        <v>0.2</v>
      </c>
      <c r="R200" s="250">
        <v>0.2</v>
      </c>
      <c r="S200" s="250">
        <v>0.2</v>
      </c>
      <c r="T200" s="250">
        <v>0.2</v>
      </c>
      <c r="U200" s="26"/>
      <c r="V200" s="250">
        <v>0.2</v>
      </c>
      <c r="W200" s="250">
        <v>0.2</v>
      </c>
      <c r="X200" s="250">
        <v>0.2</v>
      </c>
      <c r="Y200" s="250">
        <v>0.2</v>
      </c>
      <c r="Z200" s="250">
        <v>0.2</v>
      </c>
      <c r="AA200" s="26"/>
      <c r="AB200" s="250">
        <v>0.2</v>
      </c>
      <c r="AC200" s="250">
        <v>0.2</v>
      </c>
      <c r="AD200" s="250">
        <v>0.2</v>
      </c>
      <c r="AE200" s="250">
        <v>0.2</v>
      </c>
      <c r="AF200" s="250">
        <v>0.2</v>
      </c>
      <c r="AG200" s="26"/>
      <c r="AH200" s="250">
        <v>0.2</v>
      </c>
    </row>
    <row r="201" spans="1:34" ht="26.25" customHeight="1" x14ac:dyDescent="0.2">
      <c r="A201" s="380"/>
      <c r="B201" s="296"/>
      <c r="C201" s="296"/>
      <c r="D201" s="46" t="s">
        <v>31</v>
      </c>
      <c r="E201" s="251"/>
      <c r="F201" s="251"/>
      <c r="G201" s="251"/>
      <c r="H201" s="251"/>
      <c r="I201" s="251"/>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380"/>
      <c r="B202" s="284" t="s">
        <v>42</v>
      </c>
      <c r="C202" s="450" t="s">
        <v>26</v>
      </c>
      <c r="D202" s="273" t="s">
        <v>78</v>
      </c>
      <c r="E202" s="249">
        <v>1</v>
      </c>
      <c r="F202" s="249">
        <v>1</v>
      </c>
      <c r="G202" s="249">
        <v>1</v>
      </c>
      <c r="H202" s="249">
        <v>1</v>
      </c>
      <c r="I202" s="249">
        <v>1</v>
      </c>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380"/>
      <c r="B203" s="284"/>
      <c r="C203" s="450"/>
      <c r="D203" s="273"/>
      <c r="E203" s="249"/>
      <c r="F203" s="249"/>
      <c r="G203" s="249"/>
      <c r="H203" s="249"/>
      <c r="I203" s="249"/>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380"/>
      <c r="B204" s="284"/>
      <c r="C204" s="450" t="s">
        <v>7</v>
      </c>
      <c r="D204" s="273" t="s">
        <v>78</v>
      </c>
      <c r="E204" s="249">
        <v>1</v>
      </c>
      <c r="F204" s="249">
        <v>1</v>
      </c>
      <c r="G204" s="249">
        <v>1</v>
      </c>
      <c r="H204" s="249">
        <v>1</v>
      </c>
      <c r="I204" s="249">
        <v>1</v>
      </c>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380"/>
      <c r="B205" s="284"/>
      <c r="C205" s="450"/>
      <c r="D205" s="273"/>
      <c r="E205" s="249"/>
      <c r="F205" s="249"/>
      <c r="G205" s="249"/>
      <c r="H205" s="249"/>
      <c r="I205" s="249"/>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380"/>
      <c r="B206" s="284"/>
      <c r="C206" s="450" t="s">
        <v>8</v>
      </c>
      <c r="D206" s="273" t="s">
        <v>78</v>
      </c>
      <c r="E206" s="249">
        <v>1</v>
      </c>
      <c r="F206" s="249">
        <v>1</v>
      </c>
      <c r="G206" s="249">
        <v>1</v>
      </c>
      <c r="H206" s="249">
        <v>1</v>
      </c>
      <c r="I206" s="249">
        <v>1</v>
      </c>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380"/>
      <c r="B207" s="284"/>
      <c r="C207" s="450"/>
      <c r="D207" s="273"/>
      <c r="E207" s="249"/>
      <c r="F207" s="249"/>
      <c r="G207" s="249"/>
      <c r="H207" s="249"/>
      <c r="I207" s="249"/>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380"/>
      <c r="B208" s="288" t="s">
        <v>130</v>
      </c>
      <c r="C208" s="288"/>
      <c r="D208" s="273" t="s">
        <v>78</v>
      </c>
      <c r="E208" s="249">
        <f t="shared" ref="E208:N208" si="0">29.25/23.1</f>
        <v>1.2662337662337662</v>
      </c>
      <c r="F208" s="249">
        <f t="shared" si="0"/>
        <v>1.2662337662337662</v>
      </c>
      <c r="G208" s="249">
        <f t="shared" si="0"/>
        <v>1.2662337662337662</v>
      </c>
      <c r="H208" s="249">
        <f t="shared" si="0"/>
        <v>1.2662337662337662</v>
      </c>
      <c r="I208" s="249">
        <f t="shared" si="0"/>
        <v>1.2662337662337662</v>
      </c>
      <c r="J208" s="249">
        <f t="shared" si="0"/>
        <v>1.2662337662337662</v>
      </c>
      <c r="K208" s="249">
        <f t="shared" si="0"/>
        <v>1.2662337662337662</v>
      </c>
      <c r="L208" s="249">
        <f t="shared" si="0"/>
        <v>1.2662337662337662</v>
      </c>
      <c r="M208" s="249">
        <f t="shared" si="0"/>
        <v>1.2662337662337662</v>
      </c>
      <c r="N208" s="249">
        <f t="shared" si="0"/>
        <v>1.2662337662337662</v>
      </c>
      <c r="O208" s="19"/>
      <c r="P208" s="249">
        <f>29.25/23.1</f>
        <v>1.2662337662337662</v>
      </c>
      <c r="Q208" s="249">
        <f>29.25/23.1</f>
        <v>1.2662337662337662</v>
      </c>
      <c r="R208" s="249">
        <f>29.25/23.1</f>
        <v>1.2662337662337662</v>
      </c>
      <c r="S208" s="249">
        <f>29.25/23.1</f>
        <v>1.2662337662337662</v>
      </c>
      <c r="T208" s="249">
        <f>29.25/23.1</f>
        <v>1.2662337662337662</v>
      </c>
      <c r="U208" s="19"/>
      <c r="V208" s="249">
        <f>29.25/23.1</f>
        <v>1.2662337662337662</v>
      </c>
      <c r="W208" s="249">
        <f>29.25/23.1</f>
        <v>1.2662337662337662</v>
      </c>
      <c r="X208" s="249">
        <f>29.25/23.1</f>
        <v>1.2662337662337662</v>
      </c>
      <c r="Y208" s="249">
        <f>29.25/23.1</f>
        <v>1.2662337662337662</v>
      </c>
      <c r="Z208" s="249">
        <f>29.25/23.1</f>
        <v>1.2662337662337662</v>
      </c>
      <c r="AA208" s="19"/>
      <c r="AB208" s="249">
        <f>29.25/23.1</f>
        <v>1.2662337662337662</v>
      </c>
      <c r="AC208" s="249">
        <f>29.25/23.1</f>
        <v>1.2662337662337662</v>
      </c>
      <c r="AD208" s="249">
        <f>29.25/23.1</f>
        <v>1.2662337662337662</v>
      </c>
      <c r="AE208" s="249">
        <f>29.25/23.1</f>
        <v>1.2662337662337662</v>
      </c>
      <c r="AF208" s="249">
        <f>29.25/23.1</f>
        <v>1.2662337662337662</v>
      </c>
      <c r="AG208" s="19"/>
      <c r="AH208" s="249">
        <f>29.25/23.1</f>
        <v>1.2662337662337662</v>
      </c>
    </row>
    <row r="209" spans="1:34" x14ac:dyDescent="0.2">
      <c r="A209" s="380"/>
      <c r="B209" s="288"/>
      <c r="C209" s="288"/>
      <c r="D209" s="273"/>
      <c r="E209" s="249"/>
      <c r="F209" s="249"/>
      <c r="G209" s="249"/>
      <c r="H209" s="249"/>
      <c r="I209" s="24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380"/>
      <c r="B210" s="284" t="s">
        <v>131</v>
      </c>
      <c r="C210" s="284"/>
      <c r="D210" s="273" t="s">
        <v>78</v>
      </c>
      <c r="E210" s="249">
        <f t="shared" ref="E210:J210" si="1">4077/4077</f>
        <v>1</v>
      </c>
      <c r="F210" s="249">
        <f t="shared" si="1"/>
        <v>1</v>
      </c>
      <c r="G210" s="249">
        <f t="shared" si="1"/>
        <v>1</v>
      </c>
      <c r="H210" s="249">
        <f t="shared" si="1"/>
        <v>1</v>
      </c>
      <c r="I210" s="249">
        <f t="shared" si="1"/>
        <v>1</v>
      </c>
      <c r="J210" s="249">
        <f t="shared" si="1"/>
        <v>1</v>
      </c>
      <c r="K210" s="249">
        <f>2669/2669</f>
        <v>1</v>
      </c>
      <c r="L210" s="249">
        <f>2669/2669</f>
        <v>1</v>
      </c>
      <c r="M210" s="249">
        <f>2669/2669</f>
        <v>1</v>
      </c>
      <c r="N210" s="249">
        <f>2669/2669</f>
        <v>1</v>
      </c>
      <c r="O210" s="1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thickBot="1" x14ac:dyDescent="0.25">
      <c r="A211" s="385"/>
      <c r="B211" s="284"/>
      <c r="C211" s="284"/>
      <c r="D211" s="273"/>
      <c r="E211" s="249"/>
      <c r="F211" s="249"/>
      <c r="G211" s="249"/>
      <c r="H211" s="249"/>
      <c r="I211" s="24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26.25" customHeight="1" thickBot="1" x14ac:dyDescent="0.25">
      <c r="A212" s="105">
        <v>2.2000000000000002</v>
      </c>
      <c r="B212" s="264" t="s">
        <v>33</v>
      </c>
      <c r="C212" s="264"/>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row>
    <row r="213" spans="1:34" x14ac:dyDescent="0.2">
      <c r="A213" s="37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f>35.699/23.1</f>
        <v>1.5454112554112551</v>
      </c>
      <c r="X213" s="249">
        <f>35.699/23.1</f>
        <v>1.5454112554112551</v>
      </c>
      <c r="Y213" s="249">
        <f>35.699/23.1</f>
        <v>1.5454112554112551</v>
      </c>
      <c r="Z213" s="249">
        <f>35.699/23.1</f>
        <v>1.5454112554112551</v>
      </c>
      <c r="AA213" s="19"/>
      <c r="AB213" s="249">
        <f>35.699/23.1</f>
        <v>1.5454112554112551</v>
      </c>
      <c r="AC213" s="249">
        <f>35.699/23.1</f>
        <v>1.5454112554112551</v>
      </c>
      <c r="AD213" s="249">
        <f>35.699/23.1</f>
        <v>1.5454112554112551</v>
      </c>
      <c r="AE213" s="249">
        <f>35.699/23.1</f>
        <v>1.5454112554112551</v>
      </c>
      <c r="AF213" s="249">
        <f>35.699/23.1</f>
        <v>1.5454112554112551</v>
      </c>
      <c r="AG213" s="19"/>
      <c r="AH213" s="249">
        <f>35.699/23.1</f>
        <v>1.5454112554112551</v>
      </c>
    </row>
    <row r="214" spans="1:34" x14ac:dyDescent="0.2">
      <c r="A214" s="380"/>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449"/>
      <c r="X214" s="449"/>
      <c r="Y214" s="449"/>
      <c r="Z214" s="449"/>
      <c r="AA214" s="19"/>
      <c r="AB214" s="449"/>
      <c r="AC214" s="449"/>
      <c r="AD214" s="449"/>
      <c r="AE214" s="449"/>
      <c r="AF214" s="449"/>
      <c r="AG214" s="19"/>
      <c r="AH214" s="449"/>
    </row>
    <row r="215" spans="1:34" x14ac:dyDescent="0.2">
      <c r="A215" s="380"/>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1</v>
      </c>
      <c r="AD215" s="249">
        <v>1</v>
      </c>
      <c r="AE215" s="249">
        <v>1</v>
      </c>
      <c r="AF215" s="249">
        <v>1</v>
      </c>
      <c r="AG215" s="19"/>
      <c r="AH215" s="249">
        <v>1</v>
      </c>
    </row>
    <row r="216" spans="1:34" x14ac:dyDescent="0.2">
      <c r="A216" s="380"/>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380"/>
      <c r="B217" s="284" t="s">
        <v>153</v>
      </c>
      <c r="C217" s="284"/>
      <c r="D217" s="25" t="s">
        <v>100</v>
      </c>
      <c r="E217" s="250">
        <v>0</v>
      </c>
      <c r="F217" s="250">
        <v>0</v>
      </c>
      <c r="G217" s="250">
        <v>0</v>
      </c>
      <c r="H217" s="250">
        <v>0</v>
      </c>
      <c r="I217" s="26"/>
      <c r="J217" s="250">
        <v>0</v>
      </c>
      <c r="K217" s="250">
        <v>1</v>
      </c>
      <c r="L217" s="250">
        <v>2</v>
      </c>
      <c r="M217" s="250">
        <v>3</v>
      </c>
      <c r="N217" s="250">
        <v>4</v>
      </c>
      <c r="O217" s="26"/>
      <c r="P217" s="250">
        <v>0</v>
      </c>
      <c r="Q217" s="250">
        <v>1</v>
      </c>
      <c r="R217" s="250">
        <v>2</v>
      </c>
      <c r="S217" s="250">
        <v>3</v>
      </c>
      <c r="T217" s="250">
        <v>4</v>
      </c>
      <c r="U217" s="26"/>
      <c r="V217" s="250">
        <v>0</v>
      </c>
      <c r="W217" s="250">
        <v>0.1</v>
      </c>
      <c r="X217" s="250">
        <v>0.1</v>
      </c>
      <c r="Y217" s="250">
        <v>0.1</v>
      </c>
      <c r="Z217" s="250">
        <v>0.1</v>
      </c>
      <c r="AA217" s="26"/>
      <c r="AB217" s="250">
        <v>0.1</v>
      </c>
      <c r="AC217" s="250">
        <v>0.1</v>
      </c>
      <c r="AD217" s="250">
        <v>0.1</v>
      </c>
      <c r="AE217" s="250">
        <v>0.1</v>
      </c>
      <c r="AF217" s="250">
        <v>0.1</v>
      </c>
      <c r="AG217" s="26"/>
      <c r="AH217" s="250">
        <v>0.1</v>
      </c>
    </row>
    <row r="218" spans="1:34" ht="23.25" customHeight="1" thickBot="1" x14ac:dyDescent="0.25">
      <c r="A218" s="385"/>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129"/>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31"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ht="10.8" thickBot="1" x14ac:dyDescent="0.25">
      <c r="A221" s="131"/>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391"/>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thickBot="1" x14ac:dyDescent="0.25">
      <c r="A223" s="392"/>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ht="10.8" thickBot="1" x14ac:dyDescent="0.25">
      <c r="A224" s="133">
        <v>0</v>
      </c>
      <c r="B224" s="18">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ht="10.8" thickBot="1" x14ac:dyDescent="0.25">
      <c r="A225" s="134">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x14ac:dyDescent="0.2">
      <c r="A226" s="379"/>
      <c r="B226" s="284" t="s">
        <v>45</v>
      </c>
      <c r="C226" s="284"/>
      <c r="D226" s="25" t="s">
        <v>101</v>
      </c>
      <c r="E226" s="23">
        <v>2726</v>
      </c>
      <c r="F226" s="23">
        <v>2733</v>
      </c>
      <c r="G226" s="23">
        <v>2739</v>
      </c>
      <c r="H226" s="23">
        <v>2745</v>
      </c>
      <c r="I226" s="41"/>
      <c r="J226" s="41">
        <v>2745</v>
      </c>
      <c r="K226" s="23">
        <v>2751</v>
      </c>
      <c r="L226" s="23">
        <v>2758</v>
      </c>
      <c r="M226" s="23">
        <v>2764</v>
      </c>
      <c r="N226" s="23">
        <v>2770</v>
      </c>
      <c r="O226" s="41"/>
      <c r="P226" s="41">
        <v>2770</v>
      </c>
      <c r="Q226" s="23">
        <v>2776</v>
      </c>
      <c r="R226" s="23">
        <v>2783</v>
      </c>
      <c r="S226" s="23">
        <v>2789</v>
      </c>
      <c r="T226" s="23">
        <v>2795</v>
      </c>
      <c r="U226" s="23"/>
      <c r="V226" s="41">
        <v>2795</v>
      </c>
      <c r="W226" s="23">
        <v>2801</v>
      </c>
      <c r="X226" s="23">
        <v>2808</v>
      </c>
      <c r="Y226" s="23">
        <v>2814</v>
      </c>
      <c r="Z226" s="23">
        <v>2820</v>
      </c>
      <c r="AA226" s="41"/>
      <c r="AB226" s="85">
        <v>2820</v>
      </c>
      <c r="AC226" s="23">
        <v>2885</v>
      </c>
      <c r="AD226" s="23">
        <v>2949</v>
      </c>
      <c r="AE226" s="23">
        <v>3014</v>
      </c>
      <c r="AF226" s="23">
        <v>3078</v>
      </c>
      <c r="AG226" s="41"/>
      <c r="AH226" s="85">
        <v>3078</v>
      </c>
    </row>
    <row r="227" spans="1:34" x14ac:dyDescent="0.2">
      <c r="A227" s="380"/>
      <c r="B227" s="284"/>
      <c r="C227" s="284"/>
      <c r="D227" s="25" t="s">
        <v>32</v>
      </c>
      <c r="E227" s="44">
        <v>29.25</v>
      </c>
      <c r="F227" s="44">
        <v>29.25</v>
      </c>
      <c r="G227" s="44">
        <v>29.25</v>
      </c>
      <c r="H227" s="44">
        <v>29.25</v>
      </c>
      <c r="I227" s="26"/>
      <c r="J227" s="26">
        <v>29.25</v>
      </c>
      <c r="K227" s="26">
        <v>29.25</v>
      </c>
      <c r="L227" s="26">
        <v>29.25</v>
      </c>
      <c r="M227" s="26">
        <v>29.25</v>
      </c>
      <c r="N227" s="26">
        <v>29.25</v>
      </c>
      <c r="O227" s="26"/>
      <c r="P227" s="26">
        <v>29.25</v>
      </c>
      <c r="Q227" s="26">
        <v>29.25</v>
      </c>
      <c r="R227" s="26">
        <v>29.25</v>
      </c>
      <c r="S227" s="26">
        <v>29.25</v>
      </c>
      <c r="T227" s="26">
        <v>29.25</v>
      </c>
      <c r="U227" s="44"/>
      <c r="V227" s="26">
        <v>29.25</v>
      </c>
      <c r="W227" s="26">
        <v>29.25</v>
      </c>
      <c r="X227" s="26">
        <v>29.25</v>
      </c>
      <c r="Y227" s="26">
        <v>29.25</v>
      </c>
      <c r="Z227" s="26">
        <v>29.25</v>
      </c>
      <c r="AA227" s="26"/>
      <c r="AB227" s="26">
        <v>29.25</v>
      </c>
      <c r="AC227" s="44"/>
      <c r="AD227" s="44"/>
      <c r="AE227" s="44"/>
      <c r="AF227" s="44"/>
      <c r="AG227" s="26"/>
      <c r="AH227" s="26">
        <v>29.25</v>
      </c>
    </row>
    <row r="228" spans="1:34" x14ac:dyDescent="0.2">
      <c r="A228" s="380"/>
      <c r="B228" s="284" t="s">
        <v>46</v>
      </c>
      <c r="C228" s="284"/>
      <c r="D228" s="25" t="s">
        <v>32</v>
      </c>
      <c r="E228" s="44">
        <v>29.25</v>
      </c>
      <c r="F228" s="44">
        <v>29.25</v>
      </c>
      <c r="G228" s="44">
        <v>29.25</v>
      </c>
      <c r="H228" s="44">
        <v>29.25</v>
      </c>
      <c r="I228" s="26"/>
      <c r="J228" s="26">
        <v>29.25</v>
      </c>
      <c r="K228" s="26">
        <v>29.25</v>
      </c>
      <c r="L228" s="26">
        <v>29.25</v>
      </c>
      <c r="M228" s="26">
        <v>29.25</v>
      </c>
      <c r="N228" s="26">
        <v>29.25</v>
      </c>
      <c r="O228" s="26"/>
      <c r="P228" s="26">
        <v>29.25</v>
      </c>
      <c r="Q228" s="26">
        <v>29.25</v>
      </c>
      <c r="R228" s="26">
        <v>29.25</v>
      </c>
      <c r="S228" s="26">
        <v>29.25</v>
      </c>
      <c r="T228" s="26">
        <v>29.25</v>
      </c>
      <c r="U228" s="44"/>
      <c r="V228" s="26">
        <v>29.25</v>
      </c>
      <c r="W228" s="26">
        <v>29.25</v>
      </c>
      <c r="X228" s="26">
        <v>29.25</v>
      </c>
      <c r="Y228" s="26">
        <v>29.25</v>
      </c>
      <c r="Z228" s="26">
        <v>29.25</v>
      </c>
      <c r="AA228" s="26"/>
      <c r="AB228" s="26">
        <v>29.25</v>
      </c>
      <c r="AC228" s="44"/>
      <c r="AD228" s="44"/>
      <c r="AE228" s="44"/>
      <c r="AF228" s="44"/>
      <c r="AG228" s="26"/>
      <c r="AH228" s="26">
        <v>29.25</v>
      </c>
    </row>
    <row r="229" spans="1:34" x14ac:dyDescent="0.2">
      <c r="A229" s="380"/>
      <c r="B229" s="284"/>
      <c r="C229" s="284"/>
      <c r="D229" s="25" t="s">
        <v>143</v>
      </c>
      <c r="E229" s="51">
        <v>6163.7524999999996</v>
      </c>
      <c r="F229" s="51">
        <v>6185.4049999999997</v>
      </c>
      <c r="G229" s="51">
        <v>6207.0574999999999</v>
      </c>
      <c r="H229" s="51">
        <v>6228.71</v>
      </c>
      <c r="I229" s="41"/>
      <c r="J229" s="41">
        <v>6228.71</v>
      </c>
      <c r="K229" s="51">
        <v>6250.3625000000002</v>
      </c>
      <c r="L229" s="51">
        <v>6272.0150000000003</v>
      </c>
      <c r="M229" s="51">
        <v>6293.6674999999996</v>
      </c>
      <c r="N229" s="51">
        <v>6315.32</v>
      </c>
      <c r="O229" s="41"/>
      <c r="P229" s="41">
        <v>6315.32</v>
      </c>
      <c r="Q229" s="51">
        <v>6387.6525000000001</v>
      </c>
      <c r="R229" s="51">
        <v>6459.9849999999997</v>
      </c>
      <c r="S229" s="51">
        <v>6532.3175000000001</v>
      </c>
      <c r="T229" s="51">
        <v>6604.65</v>
      </c>
      <c r="U229" s="51"/>
      <c r="V229" s="41">
        <v>6604.65</v>
      </c>
      <c r="W229" s="51">
        <v>6727.2875000000004</v>
      </c>
      <c r="X229" s="51">
        <v>6849.9250000000002</v>
      </c>
      <c r="Y229" s="51">
        <v>6972.5625</v>
      </c>
      <c r="Z229" s="51">
        <v>7095.2</v>
      </c>
      <c r="AA229" s="41"/>
      <c r="AB229" s="41">
        <v>7095.2</v>
      </c>
      <c r="AC229" s="51">
        <v>7141.38</v>
      </c>
      <c r="AD229" s="51">
        <v>7187.56</v>
      </c>
      <c r="AE229" s="51">
        <v>7233.74</v>
      </c>
      <c r="AF229" s="51">
        <v>7279.92</v>
      </c>
      <c r="AG229" s="41"/>
      <c r="AH229" s="41">
        <v>7279.92</v>
      </c>
    </row>
    <row r="230" spans="1:34" x14ac:dyDescent="0.2">
      <c r="A230" s="380"/>
      <c r="B230" s="284" t="s">
        <v>47</v>
      </c>
      <c r="C230" s="284"/>
      <c r="D230" s="25" t="s">
        <v>32</v>
      </c>
      <c r="E230" s="45">
        <v>29.25</v>
      </c>
      <c r="F230" s="45">
        <v>29.25</v>
      </c>
      <c r="G230" s="45">
        <v>29.25</v>
      </c>
      <c r="H230" s="45">
        <v>29.25</v>
      </c>
      <c r="I230" s="41"/>
      <c r="J230" s="26">
        <v>29.25</v>
      </c>
      <c r="K230" s="26">
        <v>29.25</v>
      </c>
      <c r="L230" s="26">
        <v>29.25</v>
      </c>
      <c r="M230" s="26">
        <v>29.25</v>
      </c>
      <c r="N230" s="26">
        <v>29.25</v>
      </c>
      <c r="O230" s="26"/>
      <c r="P230" s="26">
        <v>29.25</v>
      </c>
      <c r="Q230" s="26">
        <v>29.25</v>
      </c>
      <c r="R230" s="26">
        <v>29.25</v>
      </c>
      <c r="S230" s="26">
        <v>29.25</v>
      </c>
      <c r="T230" s="26">
        <v>29.25</v>
      </c>
      <c r="U230" s="44"/>
      <c r="V230" s="26">
        <v>29.25</v>
      </c>
      <c r="W230" s="44">
        <v>30.193999999999999</v>
      </c>
      <c r="X230" s="44">
        <v>30.193999999999999</v>
      </c>
      <c r="Y230" s="44">
        <v>30.193999999999999</v>
      </c>
      <c r="Z230" s="44">
        <v>30.193999999999999</v>
      </c>
      <c r="AA230" s="26"/>
      <c r="AB230" s="26">
        <f>V230+0.944</f>
        <v>30.193999999999999</v>
      </c>
      <c r="AC230" s="44">
        <v>30.193999999999999</v>
      </c>
      <c r="AD230" s="44">
        <v>30.193999999999999</v>
      </c>
      <c r="AE230" s="44">
        <v>30.193999999999999</v>
      </c>
      <c r="AF230" s="44">
        <v>30.193999999999999</v>
      </c>
      <c r="AG230" s="26"/>
      <c r="AH230" s="58">
        <f>AB230</f>
        <v>30.193999999999999</v>
      </c>
    </row>
    <row r="231" spans="1:34" x14ac:dyDescent="0.2">
      <c r="A231" s="380"/>
      <c r="B231" s="284"/>
      <c r="C231" s="284"/>
      <c r="D231" s="25" t="s">
        <v>143</v>
      </c>
      <c r="E231" s="51">
        <v>6163.7524999999996</v>
      </c>
      <c r="F231" s="51">
        <v>6185.4049999999997</v>
      </c>
      <c r="G231" s="51">
        <v>6207.0574999999999</v>
      </c>
      <c r="H231" s="51">
        <v>6228.71</v>
      </c>
      <c r="I231" s="41"/>
      <c r="J231" s="41">
        <v>6228.71</v>
      </c>
      <c r="K231" s="51">
        <v>6250.3625000000002</v>
      </c>
      <c r="L231" s="51">
        <v>6272.0150000000003</v>
      </c>
      <c r="M231" s="51">
        <v>6293.6674999999996</v>
      </c>
      <c r="N231" s="51">
        <v>6315.32</v>
      </c>
      <c r="O231" s="41"/>
      <c r="P231" s="41">
        <v>6315.32</v>
      </c>
      <c r="Q231" s="51">
        <v>6387.6525000000001</v>
      </c>
      <c r="R231" s="51">
        <v>6459.9849999999997</v>
      </c>
      <c r="S231" s="51">
        <v>6532.3175000000001</v>
      </c>
      <c r="T231" s="51">
        <v>6604.65</v>
      </c>
      <c r="U231" s="51"/>
      <c r="V231" s="41">
        <v>6604.65</v>
      </c>
      <c r="W231" s="51">
        <v>6727.2875000000004</v>
      </c>
      <c r="X231" s="51">
        <v>6849.9250000000002</v>
      </c>
      <c r="Y231" s="51">
        <v>6972.5625</v>
      </c>
      <c r="Z231" s="51">
        <v>7095.2</v>
      </c>
      <c r="AA231" s="41"/>
      <c r="AB231" s="41">
        <v>7095.2</v>
      </c>
      <c r="AC231" s="51">
        <v>7141.38</v>
      </c>
      <c r="AD231" s="51">
        <v>7187.56</v>
      </c>
      <c r="AE231" s="51">
        <v>7233.74</v>
      </c>
      <c r="AF231" s="51">
        <v>7279.92</v>
      </c>
      <c r="AG231" s="41"/>
      <c r="AH231" s="41">
        <v>7279.92</v>
      </c>
    </row>
    <row r="232" spans="1:34" x14ac:dyDescent="0.2">
      <c r="A232" s="380"/>
      <c r="B232" s="284" t="s">
        <v>36</v>
      </c>
      <c r="C232" s="284"/>
      <c r="D232" s="25" t="s">
        <v>144</v>
      </c>
      <c r="E232" s="23">
        <v>0</v>
      </c>
      <c r="F232" s="23">
        <v>0</v>
      </c>
      <c r="G232" s="23">
        <v>0</v>
      </c>
      <c r="H232" s="23">
        <v>0</v>
      </c>
      <c r="I232" s="41"/>
      <c r="J232" s="41">
        <v>0</v>
      </c>
      <c r="K232" s="41">
        <v>0</v>
      </c>
      <c r="L232" s="41">
        <v>0</v>
      </c>
      <c r="M232" s="41">
        <v>0</v>
      </c>
      <c r="N232" s="41">
        <v>0</v>
      </c>
      <c r="O232" s="41"/>
      <c r="P232" s="41">
        <v>0</v>
      </c>
      <c r="Q232" s="41">
        <v>0</v>
      </c>
      <c r="R232" s="41">
        <v>0</v>
      </c>
      <c r="S232" s="41">
        <v>0</v>
      </c>
      <c r="T232" s="41">
        <v>0</v>
      </c>
      <c r="U232" s="41"/>
      <c r="V232" s="41">
        <v>0</v>
      </c>
      <c r="W232" s="23">
        <v>241</v>
      </c>
      <c r="X232" s="23">
        <v>483</v>
      </c>
      <c r="Y232" s="23">
        <v>724</v>
      </c>
      <c r="Z232" s="23">
        <v>965</v>
      </c>
      <c r="AA232" s="41"/>
      <c r="AB232" s="41">
        <v>965</v>
      </c>
      <c r="AC232" s="23">
        <v>963</v>
      </c>
      <c r="AD232" s="23">
        <v>964</v>
      </c>
      <c r="AE232" s="23">
        <v>964</v>
      </c>
      <c r="AF232" s="23">
        <v>965</v>
      </c>
      <c r="AG232" s="41"/>
      <c r="AH232" s="41">
        <v>965</v>
      </c>
    </row>
    <row r="233" spans="1:34" x14ac:dyDescent="0.2">
      <c r="A233" s="380"/>
      <c r="B233" s="284"/>
      <c r="C233" s="284"/>
      <c r="D233" s="25" t="s">
        <v>32</v>
      </c>
      <c r="E233" s="23">
        <v>0</v>
      </c>
      <c r="F233" s="23">
        <v>0</v>
      </c>
      <c r="G233" s="23">
        <v>0</v>
      </c>
      <c r="H233" s="23">
        <v>0</v>
      </c>
      <c r="I233" s="41"/>
      <c r="J233" s="41">
        <v>0</v>
      </c>
      <c r="K233" s="41">
        <v>0</v>
      </c>
      <c r="L233" s="41">
        <v>0</v>
      </c>
      <c r="M233" s="41">
        <v>0</v>
      </c>
      <c r="N233" s="41">
        <v>0</v>
      </c>
      <c r="O233" s="41"/>
      <c r="P233" s="41">
        <v>0</v>
      </c>
      <c r="Q233" s="41">
        <v>0</v>
      </c>
      <c r="R233" s="41">
        <v>0</v>
      </c>
      <c r="S233" s="41">
        <v>0</v>
      </c>
      <c r="T233" s="41">
        <v>0</v>
      </c>
      <c r="U233" s="41"/>
      <c r="V233" s="41">
        <v>0</v>
      </c>
      <c r="W233" s="44">
        <v>8.9247499999999995</v>
      </c>
      <c r="X233" s="44">
        <v>17.849499999999999</v>
      </c>
      <c r="Y233" s="44">
        <v>26.774249999999999</v>
      </c>
      <c r="Z233" s="44">
        <v>35.698999999999998</v>
      </c>
      <c r="AA233" s="41"/>
      <c r="AB233" s="26">
        <v>35.698999999999998</v>
      </c>
      <c r="AC233" s="26">
        <v>35.698999999999998</v>
      </c>
      <c r="AD233" s="26">
        <v>35.698999999999998</v>
      </c>
      <c r="AE233" s="26">
        <v>35.698999999999998</v>
      </c>
      <c r="AF233" s="26">
        <v>35.698999999999998</v>
      </c>
      <c r="AG233" s="41"/>
      <c r="AH233" s="26">
        <v>35.698999999999998</v>
      </c>
    </row>
    <row r="234" spans="1:34" x14ac:dyDescent="0.2">
      <c r="A234" s="380"/>
      <c r="B234" s="284" t="s">
        <v>48</v>
      </c>
      <c r="C234" s="284"/>
      <c r="D234" s="24" t="s">
        <v>143</v>
      </c>
      <c r="E234" s="19">
        <v>0</v>
      </c>
      <c r="F234" s="19">
        <v>0</v>
      </c>
      <c r="G234" s="19">
        <v>0</v>
      </c>
      <c r="H234" s="19">
        <v>0</v>
      </c>
      <c r="I234" s="41"/>
      <c r="J234" s="23">
        <v>0</v>
      </c>
      <c r="K234" s="23">
        <v>0</v>
      </c>
      <c r="L234" s="23">
        <v>0</v>
      </c>
      <c r="M234" s="23">
        <v>0</v>
      </c>
      <c r="N234" s="23">
        <v>0</v>
      </c>
      <c r="O234" s="41"/>
      <c r="P234" s="41">
        <v>0</v>
      </c>
      <c r="Q234" s="41">
        <v>0</v>
      </c>
      <c r="R234" s="41">
        <v>0</v>
      </c>
      <c r="S234" s="41">
        <v>0</v>
      </c>
      <c r="T234" s="41">
        <v>0</v>
      </c>
      <c r="U234" s="41"/>
      <c r="V234" s="41">
        <v>0</v>
      </c>
      <c r="W234" s="23">
        <v>1114.96</v>
      </c>
      <c r="X234" s="23">
        <v>2229.92</v>
      </c>
      <c r="Y234" s="23">
        <v>3344.88</v>
      </c>
      <c r="Z234" s="23">
        <v>4459.84</v>
      </c>
      <c r="AA234" s="41"/>
      <c r="AB234" s="41">
        <v>4459.84</v>
      </c>
      <c r="AC234" s="23">
        <v>4987.9174999999996</v>
      </c>
      <c r="AD234" s="23">
        <v>5515.9949999999999</v>
      </c>
      <c r="AE234" s="23">
        <v>6044.0725000000002</v>
      </c>
      <c r="AF234" s="23">
        <v>6572.15</v>
      </c>
      <c r="AG234" s="41"/>
      <c r="AH234" s="41">
        <v>6572.15</v>
      </c>
    </row>
    <row r="235" spans="1:34" ht="10.8" thickBot="1" x14ac:dyDescent="0.25">
      <c r="A235" s="380"/>
      <c r="B235" s="284"/>
      <c r="C235" s="284"/>
      <c r="D235" s="24" t="s">
        <v>143</v>
      </c>
      <c r="E235" s="23">
        <f>10236-25</f>
        <v>10211</v>
      </c>
      <c r="F235" s="23">
        <f>10236-25</f>
        <v>10211</v>
      </c>
      <c r="G235" s="23">
        <f>10236-25</f>
        <v>10211</v>
      </c>
      <c r="H235" s="23">
        <f>10236-25</f>
        <v>10211</v>
      </c>
      <c r="I235" s="41"/>
      <c r="J235" s="23">
        <f>10236-25</f>
        <v>10211</v>
      </c>
      <c r="K235" s="41">
        <f>E235-25</f>
        <v>10186</v>
      </c>
      <c r="L235" s="41">
        <f>F235-25</f>
        <v>10186</v>
      </c>
      <c r="M235" s="41">
        <f>G235-25</f>
        <v>10186</v>
      </c>
      <c r="N235" s="41">
        <f>H235-25</f>
        <v>10186</v>
      </c>
      <c r="O235" s="41"/>
      <c r="P235" s="41">
        <f>J235-25</f>
        <v>10186</v>
      </c>
      <c r="Q235" s="41">
        <f>K235-25</f>
        <v>10161</v>
      </c>
      <c r="R235" s="41">
        <f>L235-25</f>
        <v>10161</v>
      </c>
      <c r="S235" s="41">
        <f>M235-25</f>
        <v>10161</v>
      </c>
      <c r="T235" s="41">
        <f>N235-25</f>
        <v>10161</v>
      </c>
      <c r="U235" s="41"/>
      <c r="V235" s="41">
        <f>P235-25</f>
        <v>10161</v>
      </c>
      <c r="W235" s="41">
        <f>Q235-25</f>
        <v>10136</v>
      </c>
      <c r="X235" s="41">
        <f>R235-25</f>
        <v>10136</v>
      </c>
      <c r="Y235" s="41">
        <f>S235-25</f>
        <v>10136</v>
      </c>
      <c r="Z235" s="41">
        <f>T235-25</f>
        <v>10136</v>
      </c>
      <c r="AA235" s="41"/>
      <c r="AB235" s="41">
        <f>V235-25</f>
        <v>10136</v>
      </c>
      <c r="AC235" s="41">
        <f>W235-25</f>
        <v>10111</v>
      </c>
      <c r="AD235" s="41">
        <f>X235-25</f>
        <v>10111</v>
      </c>
      <c r="AE235" s="41">
        <f>Y235-25</f>
        <v>10111</v>
      </c>
      <c r="AF235" s="41">
        <f>Z235-25</f>
        <v>10111</v>
      </c>
      <c r="AG235" s="41"/>
      <c r="AH235" s="41">
        <f>AB235-25</f>
        <v>10111</v>
      </c>
    </row>
    <row r="236" spans="1:34" ht="10.8" thickBot="1" x14ac:dyDescent="0.25">
      <c r="A236" s="97">
        <v>3.2</v>
      </c>
      <c r="B236" s="448" t="s">
        <v>152</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382"/>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9"/>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9"/>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9"/>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9"/>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9"/>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9"/>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9"/>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9"/>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9"/>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9"/>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9"/>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9"/>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9"/>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9"/>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9"/>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9"/>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thickBot="1" x14ac:dyDescent="0.25">
      <c r="A254" s="383"/>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9"/>
      <c r="D256" s="9"/>
    </row>
  </sheetData>
  <mergeCells count="2956">
    <mergeCell ref="J253:J254"/>
    <mergeCell ref="P253:P254"/>
    <mergeCell ref="V253:V254"/>
    <mergeCell ref="AB253:AB254"/>
    <mergeCell ref="AH253:AH254"/>
    <mergeCell ref="AB213:AB214"/>
    <mergeCell ref="J249:J250"/>
    <mergeCell ref="P249:P250"/>
    <mergeCell ref="V249:V250"/>
    <mergeCell ref="AB249:AB250"/>
    <mergeCell ref="AH249:AH250"/>
    <mergeCell ref="J251:J252"/>
    <mergeCell ref="P251:P252"/>
    <mergeCell ref="V251:V252"/>
    <mergeCell ref="AB251:AB252"/>
    <mergeCell ref="AH251:AH252"/>
    <mergeCell ref="K249:K250"/>
    <mergeCell ref="L249:L250"/>
    <mergeCell ref="M249:M250"/>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M239:M240"/>
    <mergeCell ref="N239:N240"/>
    <mergeCell ref="Z237:Z238"/>
    <mergeCell ref="Z239:Z240"/>
    <mergeCell ref="Z241:Z242"/>
    <mergeCell ref="Z243:Z244"/>
    <mergeCell ref="AC237:AC238"/>
    <mergeCell ref="AD237:AD238"/>
    <mergeCell ref="AC241:AC242"/>
    <mergeCell ref="AD241:AD242"/>
    <mergeCell ref="J217:J218"/>
    <mergeCell ref="P217:P218"/>
    <mergeCell ref="V217:V218"/>
    <mergeCell ref="AB217:AB218"/>
    <mergeCell ref="AH217:AH218"/>
    <mergeCell ref="G222:H222"/>
    <mergeCell ref="M222:N222"/>
    <mergeCell ref="S222:T222"/>
    <mergeCell ref="Y222:Z222"/>
    <mergeCell ref="AE222:AF222"/>
    <mergeCell ref="D215:D216"/>
    <mergeCell ref="J215:J216"/>
    <mergeCell ref="P215:P216"/>
    <mergeCell ref="V215:V216"/>
    <mergeCell ref="AB215:AB216"/>
    <mergeCell ref="AH215:AH216"/>
    <mergeCell ref="J210:J211"/>
    <mergeCell ref="P210:P211"/>
    <mergeCell ref="V210:V211"/>
    <mergeCell ref="AB210:AB211"/>
    <mergeCell ref="AH210:AH211"/>
    <mergeCell ref="D213:D214"/>
    <mergeCell ref="J213:J214"/>
    <mergeCell ref="P213:P214"/>
    <mergeCell ref="V213:V214"/>
    <mergeCell ref="AH213:AH214"/>
    <mergeCell ref="E210:E211"/>
    <mergeCell ref="F210:F211"/>
    <mergeCell ref="G210:G211"/>
    <mergeCell ref="H210:H211"/>
    <mergeCell ref="I210:I211"/>
    <mergeCell ref="K210:K211"/>
    <mergeCell ref="J206:J207"/>
    <mergeCell ref="P206:P207"/>
    <mergeCell ref="V206:V207"/>
    <mergeCell ref="AB206:AB207"/>
    <mergeCell ref="AH206:AH207"/>
    <mergeCell ref="J208:J209"/>
    <mergeCell ref="P208:P209"/>
    <mergeCell ref="V208:V209"/>
    <mergeCell ref="AB208:AB209"/>
    <mergeCell ref="AH208:AH209"/>
    <mergeCell ref="AH202:AH203"/>
    <mergeCell ref="D204:D205"/>
    <mergeCell ref="J204:J205"/>
    <mergeCell ref="P204:P205"/>
    <mergeCell ref="V204:V205"/>
    <mergeCell ref="AB204:AB205"/>
    <mergeCell ref="AH204:AH205"/>
    <mergeCell ref="E204:E205"/>
    <mergeCell ref="F204:F205"/>
    <mergeCell ref="G204:G205"/>
    <mergeCell ref="K206:K207"/>
    <mergeCell ref="L206:L207"/>
    <mergeCell ref="M206:M207"/>
    <mergeCell ref="N206:N207"/>
    <mergeCell ref="K208:K209"/>
    <mergeCell ref="L208:L209"/>
    <mergeCell ref="M208:M209"/>
    <mergeCell ref="N208:N209"/>
    <mergeCell ref="J200:J201"/>
    <mergeCell ref="P200:P201"/>
    <mergeCell ref="V200:V201"/>
    <mergeCell ref="AB200:AB201"/>
    <mergeCell ref="AH200:AH201"/>
    <mergeCell ref="D202:D203"/>
    <mergeCell ref="J202:J203"/>
    <mergeCell ref="P202:P203"/>
    <mergeCell ref="V202:V203"/>
    <mergeCell ref="AB202:AB203"/>
    <mergeCell ref="J196:J197"/>
    <mergeCell ref="P196:P197"/>
    <mergeCell ref="V196:V197"/>
    <mergeCell ref="AB196:AB197"/>
    <mergeCell ref="AH196:AH197"/>
    <mergeCell ref="J198:J199"/>
    <mergeCell ref="P198:P199"/>
    <mergeCell ref="V198:V199"/>
    <mergeCell ref="AB198:AB199"/>
    <mergeCell ref="AH198:AH199"/>
    <mergeCell ref="E196:E197"/>
    <mergeCell ref="F196:F197"/>
    <mergeCell ref="G196:G197"/>
    <mergeCell ref="H196:H197"/>
    <mergeCell ref="I196:I197"/>
    <mergeCell ref="E198:E199"/>
    <mergeCell ref="F198:F199"/>
    <mergeCell ref="G198:G199"/>
    <mergeCell ref="H198:H199"/>
    <mergeCell ref="I198:I199"/>
    <mergeCell ref="E200:E201"/>
    <mergeCell ref="F200:F201"/>
    <mergeCell ref="AH190:AH191"/>
    <mergeCell ref="J192:J193"/>
    <mergeCell ref="P192:P193"/>
    <mergeCell ref="V192:V193"/>
    <mergeCell ref="AB192:AB193"/>
    <mergeCell ref="AH192:AH193"/>
    <mergeCell ref="J185:J186"/>
    <mergeCell ref="P185:P186"/>
    <mergeCell ref="V185:V186"/>
    <mergeCell ref="AB185:AB186"/>
    <mergeCell ref="AH185:AH186"/>
    <mergeCell ref="J187:J188"/>
    <mergeCell ref="P187:P188"/>
    <mergeCell ref="V187:V188"/>
    <mergeCell ref="AB187:AB188"/>
    <mergeCell ref="AH187:AH188"/>
    <mergeCell ref="K185:K186"/>
    <mergeCell ref="L185:L186"/>
    <mergeCell ref="M185:M186"/>
    <mergeCell ref="N185:N186"/>
    <mergeCell ref="K187:K188"/>
    <mergeCell ref="L187:L188"/>
    <mergeCell ref="M187:M188"/>
    <mergeCell ref="N187:N188"/>
    <mergeCell ref="Q185:Q186"/>
    <mergeCell ref="R185:R186"/>
    <mergeCell ref="S185:S186"/>
    <mergeCell ref="T185:T186"/>
    <mergeCell ref="J181:J182"/>
    <mergeCell ref="P181:P182"/>
    <mergeCell ref="V181:V182"/>
    <mergeCell ref="AB181:AB182"/>
    <mergeCell ref="AH181:AH182"/>
    <mergeCell ref="J183:J184"/>
    <mergeCell ref="P183:P184"/>
    <mergeCell ref="V183:V184"/>
    <mergeCell ref="AB183:AB184"/>
    <mergeCell ref="AH183:AH184"/>
    <mergeCell ref="J177:J178"/>
    <mergeCell ref="P177:P178"/>
    <mergeCell ref="V177:V178"/>
    <mergeCell ref="AB177:AB178"/>
    <mergeCell ref="AH177:AH178"/>
    <mergeCell ref="J179:J180"/>
    <mergeCell ref="P179:P180"/>
    <mergeCell ref="V179:V180"/>
    <mergeCell ref="AB179:AB180"/>
    <mergeCell ref="AH179:AH180"/>
    <mergeCell ref="Q179:Q180"/>
    <mergeCell ref="R179:R180"/>
    <mergeCell ref="S179:S180"/>
    <mergeCell ref="T179:T180"/>
    <mergeCell ref="Q181:Q182"/>
    <mergeCell ref="R181:R182"/>
    <mergeCell ref="S181:S182"/>
    <mergeCell ref="T181:T182"/>
    <mergeCell ref="Q183:Q184"/>
    <mergeCell ref="R183:R184"/>
    <mergeCell ref="S183:S184"/>
    <mergeCell ref="T183:T184"/>
    <mergeCell ref="J173:J174"/>
    <mergeCell ref="P173:P174"/>
    <mergeCell ref="V173:V174"/>
    <mergeCell ref="AB173:AB174"/>
    <mergeCell ref="AH173:AH174"/>
    <mergeCell ref="J175:J176"/>
    <mergeCell ref="P175:P176"/>
    <mergeCell ref="V175:V176"/>
    <mergeCell ref="AB175:AB176"/>
    <mergeCell ref="AH175:AH176"/>
    <mergeCell ref="J169:J170"/>
    <mergeCell ref="P169:P170"/>
    <mergeCell ref="V169:V170"/>
    <mergeCell ref="AB169:AB170"/>
    <mergeCell ref="AH169:AH170"/>
    <mergeCell ref="J171:J172"/>
    <mergeCell ref="P171:P172"/>
    <mergeCell ref="V171:V172"/>
    <mergeCell ref="AB171:AB172"/>
    <mergeCell ref="AH171:AH172"/>
    <mergeCell ref="K169:K170"/>
    <mergeCell ref="L169:L170"/>
    <mergeCell ref="M169:M170"/>
    <mergeCell ref="N169:N170"/>
    <mergeCell ref="K171:K172"/>
    <mergeCell ref="L171:L172"/>
    <mergeCell ref="M171:M172"/>
    <mergeCell ref="N171:N172"/>
    <mergeCell ref="K173:K174"/>
    <mergeCell ref="L173:L174"/>
    <mergeCell ref="M173:M174"/>
    <mergeCell ref="N173:N174"/>
    <mergeCell ref="J165:J166"/>
    <mergeCell ref="P165:P166"/>
    <mergeCell ref="V165:V166"/>
    <mergeCell ref="AB165:AB166"/>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Q163:Q164"/>
    <mergeCell ref="R163:R164"/>
    <mergeCell ref="S163:S164"/>
    <mergeCell ref="T163:T164"/>
    <mergeCell ref="Q165:Q166"/>
    <mergeCell ref="R165:R166"/>
    <mergeCell ref="S165:S166"/>
    <mergeCell ref="T165:T166"/>
    <mergeCell ref="Q167:Q168"/>
    <mergeCell ref="R167:R168"/>
    <mergeCell ref="S167:S168"/>
    <mergeCell ref="T167:T168"/>
    <mergeCell ref="J157:J158"/>
    <mergeCell ref="P157:P158"/>
    <mergeCell ref="V157:V158"/>
    <mergeCell ref="AB157:AB158"/>
    <mergeCell ref="AH157:AH158"/>
    <mergeCell ref="J159:J160"/>
    <mergeCell ref="P159:P160"/>
    <mergeCell ref="V159:V160"/>
    <mergeCell ref="AB159:AB160"/>
    <mergeCell ref="AH159:AH160"/>
    <mergeCell ref="J153:J154"/>
    <mergeCell ref="P153:P154"/>
    <mergeCell ref="V153:V154"/>
    <mergeCell ref="AB153:AB154"/>
    <mergeCell ref="AH153:AH154"/>
    <mergeCell ref="J155:J156"/>
    <mergeCell ref="P155:P156"/>
    <mergeCell ref="V155:V156"/>
    <mergeCell ref="AB155:AB156"/>
    <mergeCell ref="AH155:AH156"/>
    <mergeCell ref="K153:K154"/>
    <mergeCell ref="L153:L154"/>
    <mergeCell ref="M153:M154"/>
    <mergeCell ref="N153:N154"/>
    <mergeCell ref="K155:K156"/>
    <mergeCell ref="L155:L156"/>
    <mergeCell ref="M155:M156"/>
    <mergeCell ref="N155:N156"/>
    <mergeCell ref="K157:K158"/>
    <mergeCell ref="L157:L158"/>
    <mergeCell ref="M157:M158"/>
    <mergeCell ref="N157:N158"/>
    <mergeCell ref="J148:J149"/>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K141:K142"/>
    <mergeCell ref="L141:L142"/>
    <mergeCell ref="M141:M142"/>
    <mergeCell ref="N141:N142"/>
    <mergeCell ref="Q141:Q142"/>
    <mergeCell ref="R141:R142"/>
    <mergeCell ref="S141:S142"/>
    <mergeCell ref="T141:T142"/>
    <mergeCell ref="K148:K149"/>
    <mergeCell ref="L148:L149"/>
    <mergeCell ref="M148:M149"/>
    <mergeCell ref="N148:N149"/>
    <mergeCell ref="J137:J138"/>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Q139:Q140"/>
    <mergeCell ref="R139:R140"/>
    <mergeCell ref="S139:S140"/>
    <mergeCell ref="T139:T140"/>
    <mergeCell ref="W135:W136"/>
    <mergeCell ref="X135:X136"/>
    <mergeCell ref="Y135:Y136"/>
    <mergeCell ref="Z135:Z136"/>
    <mergeCell ref="W137:W138"/>
    <mergeCell ref="X137:X138"/>
    <mergeCell ref="Y137:Y138"/>
    <mergeCell ref="Z137:Z138"/>
    <mergeCell ref="J129:J130"/>
    <mergeCell ref="P129:P130"/>
    <mergeCell ref="V129:V130"/>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K122:K123"/>
    <mergeCell ref="L122:L123"/>
    <mergeCell ref="M122:M123"/>
    <mergeCell ref="N122:N123"/>
    <mergeCell ref="Q122:Q123"/>
    <mergeCell ref="R122:R123"/>
    <mergeCell ref="S122:S123"/>
    <mergeCell ref="T122:T123"/>
    <mergeCell ref="W122:W123"/>
    <mergeCell ref="X122:X123"/>
    <mergeCell ref="Y122:Y123"/>
    <mergeCell ref="Z122:Z123"/>
    <mergeCell ref="J118:J119"/>
    <mergeCell ref="P118:P119"/>
    <mergeCell ref="V118:V119"/>
    <mergeCell ref="AB118:AB119"/>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Q120:Q121"/>
    <mergeCell ref="R120:R121"/>
    <mergeCell ref="S120:S121"/>
    <mergeCell ref="T120:T121"/>
    <mergeCell ref="W120:W121"/>
    <mergeCell ref="X120:X121"/>
    <mergeCell ref="Y120:Y121"/>
    <mergeCell ref="Z120:Z121"/>
    <mergeCell ref="AC120:AC121"/>
    <mergeCell ref="AD120:AD121"/>
    <mergeCell ref="AE120:AE121"/>
    <mergeCell ref="AF120:AF121"/>
    <mergeCell ref="J110:J111"/>
    <mergeCell ref="P110:P111"/>
    <mergeCell ref="V110:V111"/>
    <mergeCell ref="AB110:AB11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Q106:Q107"/>
    <mergeCell ref="R106:R107"/>
    <mergeCell ref="S106:S107"/>
    <mergeCell ref="T106:T107"/>
    <mergeCell ref="W106:W107"/>
    <mergeCell ref="X106:X107"/>
    <mergeCell ref="Y106:Y107"/>
    <mergeCell ref="Z106:Z107"/>
    <mergeCell ref="AC106:AC107"/>
    <mergeCell ref="AD106:AD107"/>
    <mergeCell ref="AE106:AE107"/>
    <mergeCell ref="AF106:AF107"/>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E96:E97"/>
    <mergeCell ref="F96:F97"/>
    <mergeCell ref="G96:G97"/>
    <mergeCell ref="D102:D103"/>
    <mergeCell ref="H96:H97"/>
    <mergeCell ref="E98:E99"/>
    <mergeCell ref="F98:F99"/>
    <mergeCell ref="G98:G99"/>
    <mergeCell ref="H98:H99"/>
    <mergeCell ref="E100:E101"/>
    <mergeCell ref="F100:F101"/>
    <mergeCell ref="G100:G101"/>
    <mergeCell ref="H100:H101"/>
    <mergeCell ref="E102:E103"/>
    <mergeCell ref="F102:F103"/>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D93:D94"/>
    <mergeCell ref="E93:E94"/>
    <mergeCell ref="F93:F94"/>
    <mergeCell ref="G93:G94"/>
    <mergeCell ref="H93:H94"/>
    <mergeCell ref="K89:K90"/>
    <mergeCell ref="L89:L90"/>
    <mergeCell ref="M89:M90"/>
    <mergeCell ref="N89:N90"/>
    <mergeCell ref="K91:K92"/>
    <mergeCell ref="L91:L92"/>
    <mergeCell ref="M91:M92"/>
    <mergeCell ref="J85:J86"/>
    <mergeCell ref="P85:P86"/>
    <mergeCell ref="V85:V86"/>
    <mergeCell ref="AB85:AB86"/>
    <mergeCell ref="AH85:AH86"/>
    <mergeCell ref="J87:J88"/>
    <mergeCell ref="P87:P88"/>
    <mergeCell ref="V87:V88"/>
    <mergeCell ref="AB87:AB88"/>
    <mergeCell ref="AH87:AH88"/>
    <mergeCell ref="P78:P79"/>
    <mergeCell ref="V78:V79"/>
    <mergeCell ref="AB78:AB79"/>
    <mergeCell ref="AH78:AH79"/>
    <mergeCell ref="J83:J84"/>
    <mergeCell ref="P83:P84"/>
    <mergeCell ref="V83:V84"/>
    <mergeCell ref="AB83:AB84"/>
    <mergeCell ref="AH83:AH84"/>
    <mergeCell ref="K83:K84"/>
    <mergeCell ref="L83:L84"/>
    <mergeCell ref="M83:M84"/>
    <mergeCell ref="N83:N84"/>
    <mergeCell ref="K85:K86"/>
    <mergeCell ref="L85:L86"/>
    <mergeCell ref="M85:M86"/>
    <mergeCell ref="N85:N86"/>
    <mergeCell ref="K87:K88"/>
    <mergeCell ref="L87:L88"/>
    <mergeCell ref="M87:M88"/>
    <mergeCell ref="N87:N88"/>
    <mergeCell ref="W83:W84"/>
    <mergeCell ref="D74:D75"/>
    <mergeCell ref="J74:J75"/>
    <mergeCell ref="P74:P75"/>
    <mergeCell ref="V74:V75"/>
    <mergeCell ref="AB74:AB75"/>
    <mergeCell ref="AH74:AH75"/>
    <mergeCell ref="W74:W75"/>
    <mergeCell ref="X74:X75"/>
    <mergeCell ref="Y74:Y75"/>
    <mergeCell ref="Z74:Z75"/>
    <mergeCell ref="D71:D72"/>
    <mergeCell ref="J71:J72"/>
    <mergeCell ref="P71:P72"/>
    <mergeCell ref="V71:V72"/>
    <mergeCell ref="AB71:AB72"/>
    <mergeCell ref="AH71:AH72"/>
    <mergeCell ref="E71:E72"/>
    <mergeCell ref="F71:F72"/>
    <mergeCell ref="G71:G72"/>
    <mergeCell ref="H71:H72"/>
    <mergeCell ref="K71:K72"/>
    <mergeCell ref="L71:L72"/>
    <mergeCell ref="M71:M72"/>
    <mergeCell ref="N71:N72"/>
    <mergeCell ref="Q71:Q72"/>
    <mergeCell ref="R71:R72"/>
    <mergeCell ref="S71:S72"/>
    <mergeCell ref="T71:T72"/>
    <mergeCell ref="AC71:AC72"/>
    <mergeCell ref="AD71:AD72"/>
    <mergeCell ref="AE71:AE72"/>
    <mergeCell ref="AF71:AF72"/>
    <mergeCell ref="D69:D70"/>
    <mergeCell ref="J69:J70"/>
    <mergeCell ref="P69:P70"/>
    <mergeCell ref="V69:V70"/>
    <mergeCell ref="AB69:AB70"/>
    <mergeCell ref="AH69:AH70"/>
    <mergeCell ref="E69:E70"/>
    <mergeCell ref="F69:F70"/>
    <mergeCell ref="G69:G70"/>
    <mergeCell ref="H69:H70"/>
    <mergeCell ref="D67:D68"/>
    <mergeCell ref="J67:J68"/>
    <mergeCell ref="P67:P68"/>
    <mergeCell ref="V67:V68"/>
    <mergeCell ref="AB67:AB68"/>
    <mergeCell ref="AH67:AH68"/>
    <mergeCell ref="E67:E68"/>
    <mergeCell ref="F67:F68"/>
    <mergeCell ref="G67:G68"/>
    <mergeCell ref="H67:H68"/>
    <mergeCell ref="K67:K68"/>
    <mergeCell ref="L67:L68"/>
    <mergeCell ref="M67:M68"/>
    <mergeCell ref="N67:N68"/>
    <mergeCell ref="K69:K70"/>
    <mergeCell ref="L69:L70"/>
    <mergeCell ref="M69:M70"/>
    <mergeCell ref="N69:N70"/>
    <mergeCell ref="Q69:Q70"/>
    <mergeCell ref="R69:R70"/>
    <mergeCell ref="S69:S70"/>
    <mergeCell ref="T69:T70"/>
    <mergeCell ref="D65:D66"/>
    <mergeCell ref="J65:J66"/>
    <mergeCell ref="P65:P66"/>
    <mergeCell ref="V65:V66"/>
    <mergeCell ref="AB65:AB66"/>
    <mergeCell ref="AH65:AH66"/>
    <mergeCell ref="E65:E66"/>
    <mergeCell ref="F65:F66"/>
    <mergeCell ref="G65:G66"/>
    <mergeCell ref="H65:H66"/>
    <mergeCell ref="D63:D64"/>
    <mergeCell ref="J63:J64"/>
    <mergeCell ref="P63:P64"/>
    <mergeCell ref="V63:V64"/>
    <mergeCell ref="AB63:AB64"/>
    <mergeCell ref="AH63:AH64"/>
    <mergeCell ref="K63:K64"/>
    <mergeCell ref="L63:L64"/>
    <mergeCell ref="M63:M64"/>
    <mergeCell ref="N63:N64"/>
    <mergeCell ref="K65:K66"/>
    <mergeCell ref="L65:L66"/>
    <mergeCell ref="M65:M66"/>
    <mergeCell ref="N65:N66"/>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E54:E55"/>
    <mergeCell ref="F54:F55"/>
    <mergeCell ref="G54:G55"/>
    <mergeCell ref="H54:H55"/>
    <mergeCell ref="AH50:AH51"/>
    <mergeCell ref="D52:D53"/>
    <mergeCell ref="I52:I53"/>
    <mergeCell ref="J52:J53"/>
    <mergeCell ref="P52:P53"/>
    <mergeCell ref="V52:V53"/>
    <mergeCell ref="AB52:AB53"/>
    <mergeCell ref="AH52:AH53"/>
    <mergeCell ref="D50:D51"/>
    <mergeCell ref="I50:I51"/>
    <mergeCell ref="AH46:AH47"/>
    <mergeCell ref="D48:D49"/>
    <mergeCell ref="I48:I49"/>
    <mergeCell ref="J48:J49"/>
    <mergeCell ref="P48:P49"/>
    <mergeCell ref="V48:V49"/>
    <mergeCell ref="AB46:AB47"/>
    <mergeCell ref="E46:E47"/>
    <mergeCell ref="F46:F47"/>
    <mergeCell ref="J50:J51"/>
    <mergeCell ref="P50:P51"/>
    <mergeCell ref="V50:V51"/>
    <mergeCell ref="AB50:AB51"/>
    <mergeCell ref="E50:E51"/>
    <mergeCell ref="F50:F51"/>
    <mergeCell ref="G50:G51"/>
    <mergeCell ref="H50:H51"/>
    <mergeCell ref="E52:E53"/>
    <mergeCell ref="F52:F53"/>
    <mergeCell ref="G52:G53"/>
    <mergeCell ref="H52:H53"/>
    <mergeCell ref="R52:R53"/>
    <mergeCell ref="AH44:AH45"/>
    <mergeCell ref="D42:D43"/>
    <mergeCell ref="I42:I43"/>
    <mergeCell ref="AB48:AB49"/>
    <mergeCell ref="AH48:AH49"/>
    <mergeCell ref="D46:D47"/>
    <mergeCell ref="I46:I47"/>
    <mergeCell ref="J46:J47"/>
    <mergeCell ref="P46:P47"/>
    <mergeCell ref="V46:V47"/>
    <mergeCell ref="D44:D45"/>
    <mergeCell ref="I44:I45"/>
    <mergeCell ref="J44:J45"/>
    <mergeCell ref="P44:P45"/>
    <mergeCell ref="V44:V45"/>
    <mergeCell ref="AB44:AB45"/>
    <mergeCell ref="D40:D41"/>
    <mergeCell ref="I40:I41"/>
    <mergeCell ref="J40:J41"/>
    <mergeCell ref="P40:P41"/>
    <mergeCell ref="V40:V41"/>
    <mergeCell ref="AH42:AH43"/>
    <mergeCell ref="G46:G47"/>
    <mergeCell ref="H46:H47"/>
    <mergeCell ref="E48:E49"/>
    <mergeCell ref="F48:F49"/>
    <mergeCell ref="G48:G49"/>
    <mergeCell ref="H48:H49"/>
    <mergeCell ref="Z46:Z47"/>
    <mergeCell ref="Z48:Z49"/>
    <mergeCell ref="AE46:AE47"/>
    <mergeCell ref="AF46:AF47"/>
    <mergeCell ref="E37:E38"/>
    <mergeCell ref="J42:J43"/>
    <mergeCell ref="P42:P43"/>
    <mergeCell ref="V42:V43"/>
    <mergeCell ref="AB42:AB43"/>
    <mergeCell ref="AH37:AH38"/>
    <mergeCell ref="AH35:AH36"/>
    <mergeCell ref="AB40:AB41"/>
    <mergeCell ref="AH40:AH41"/>
    <mergeCell ref="D37:D38"/>
    <mergeCell ref="J37:J38"/>
    <mergeCell ref="O37:O38"/>
    <mergeCell ref="P37:P38"/>
    <mergeCell ref="V37:V38"/>
    <mergeCell ref="AB37:AB38"/>
    <mergeCell ref="B39:AH39"/>
    <mergeCell ref="T33:T34"/>
    <mergeCell ref="AB33:AB34"/>
    <mergeCell ref="AH33:AH34"/>
    <mergeCell ref="D35:D36"/>
    <mergeCell ref="I35:I36"/>
    <mergeCell ref="J35:J36"/>
    <mergeCell ref="O35:O36"/>
    <mergeCell ref="P35:P36"/>
    <mergeCell ref="V35:V36"/>
    <mergeCell ref="AB35:AB36"/>
    <mergeCell ref="E35:E36"/>
    <mergeCell ref="F35:F36"/>
    <mergeCell ref="G35:G36"/>
    <mergeCell ref="H35:H36"/>
    <mergeCell ref="K35:K36"/>
    <mergeCell ref="L35:L36"/>
    <mergeCell ref="AH31:AH32"/>
    <mergeCell ref="D33:D34"/>
    <mergeCell ref="I33:I34"/>
    <mergeCell ref="J33:J34"/>
    <mergeCell ref="O33:O34"/>
    <mergeCell ref="P33:P34"/>
    <mergeCell ref="V33:V34"/>
    <mergeCell ref="Q33:Q34"/>
    <mergeCell ref="R33:R34"/>
    <mergeCell ref="S33:S34"/>
    <mergeCell ref="H29:H30"/>
    <mergeCell ref="AB29:AB30"/>
    <mergeCell ref="AH29:AH30"/>
    <mergeCell ref="D31:D32"/>
    <mergeCell ref="I31:I32"/>
    <mergeCell ref="J31:J32"/>
    <mergeCell ref="O31:O32"/>
    <mergeCell ref="P31:P32"/>
    <mergeCell ref="V31:V32"/>
    <mergeCell ref="AB31:AB32"/>
    <mergeCell ref="E31:E32"/>
    <mergeCell ref="F31:F32"/>
    <mergeCell ref="G31:G32"/>
    <mergeCell ref="H31:H32"/>
    <mergeCell ref="K31:K32"/>
    <mergeCell ref="L31:L32"/>
    <mergeCell ref="M31:M32"/>
    <mergeCell ref="N31:N32"/>
    <mergeCell ref="Q31:Q32"/>
    <mergeCell ref="R31:R32"/>
    <mergeCell ref="S31:S32"/>
    <mergeCell ref="T31:T32"/>
    <mergeCell ref="AH27:AH28"/>
    <mergeCell ref="D29:D30"/>
    <mergeCell ref="I29:I30"/>
    <mergeCell ref="J29:J30"/>
    <mergeCell ref="O29:O30"/>
    <mergeCell ref="P29:P30"/>
    <mergeCell ref="V29:V30"/>
    <mergeCell ref="E29:E30"/>
    <mergeCell ref="F29:F30"/>
    <mergeCell ref="G29:G30"/>
    <mergeCell ref="T25:T26"/>
    <mergeCell ref="AB25:AB26"/>
    <mergeCell ref="AH25:AH26"/>
    <mergeCell ref="D27:D28"/>
    <mergeCell ref="I27:I28"/>
    <mergeCell ref="J27:J28"/>
    <mergeCell ref="O27:O28"/>
    <mergeCell ref="P27:P28"/>
    <mergeCell ref="V27:V28"/>
    <mergeCell ref="AB27:AB28"/>
    <mergeCell ref="AF25:AF26"/>
    <mergeCell ref="AG25:AG26"/>
    <mergeCell ref="E27:E28"/>
    <mergeCell ref="F27:F28"/>
    <mergeCell ref="G27:G28"/>
    <mergeCell ref="H27:H28"/>
    <mergeCell ref="K27:K28"/>
    <mergeCell ref="L27:L28"/>
    <mergeCell ref="M27:M28"/>
    <mergeCell ref="N27:N28"/>
    <mergeCell ref="Q27:Q28"/>
    <mergeCell ref="R27:R28"/>
    <mergeCell ref="AH23:AH24"/>
    <mergeCell ref="D25:D26"/>
    <mergeCell ref="I25:I26"/>
    <mergeCell ref="J25:J26"/>
    <mergeCell ref="O25:O26"/>
    <mergeCell ref="P25:P26"/>
    <mergeCell ref="V25:V26"/>
    <mergeCell ref="Q25:Q26"/>
    <mergeCell ref="R25:R26"/>
    <mergeCell ref="S25:S26"/>
    <mergeCell ref="G21:G22"/>
    <mergeCell ref="H21:H22"/>
    <mergeCell ref="AB21:AB22"/>
    <mergeCell ref="AH21:AH22"/>
    <mergeCell ref="D23:D24"/>
    <mergeCell ref="I23:I24"/>
    <mergeCell ref="J23:J24"/>
    <mergeCell ref="O23:O24"/>
    <mergeCell ref="P23:P24"/>
    <mergeCell ref="V23:V24"/>
    <mergeCell ref="AE21:AE22"/>
    <mergeCell ref="AF21:AF22"/>
    <mergeCell ref="AG21:AG22"/>
    <mergeCell ref="E23:E24"/>
    <mergeCell ref="F23:F24"/>
    <mergeCell ref="G23:G24"/>
    <mergeCell ref="H23:H24"/>
    <mergeCell ref="K23:K24"/>
    <mergeCell ref="L23:L24"/>
    <mergeCell ref="M23:M24"/>
    <mergeCell ref="N23:N24"/>
    <mergeCell ref="Q23:Q24"/>
    <mergeCell ref="AH19:AH20"/>
    <mergeCell ref="L17:L18"/>
    <mergeCell ref="D21:D22"/>
    <mergeCell ref="I21:I22"/>
    <mergeCell ref="J21:J22"/>
    <mergeCell ref="O21:O22"/>
    <mergeCell ref="P21:P22"/>
    <mergeCell ref="V21:V22"/>
    <mergeCell ref="E21:E22"/>
    <mergeCell ref="F21:F22"/>
    <mergeCell ref="D19:D20"/>
    <mergeCell ref="I19:I20"/>
    <mergeCell ref="J19:J20"/>
    <mergeCell ref="O19:O20"/>
    <mergeCell ref="P19:P20"/>
    <mergeCell ref="V19:V20"/>
    <mergeCell ref="AB15:AB16"/>
    <mergeCell ref="AH15:AH16"/>
    <mergeCell ref="D17:D18"/>
    <mergeCell ref="I17:I18"/>
    <mergeCell ref="J17:J18"/>
    <mergeCell ref="O17:O18"/>
    <mergeCell ref="P17:P18"/>
    <mergeCell ref="V17:V18"/>
    <mergeCell ref="AB17:AB18"/>
    <mergeCell ref="AH17:AH18"/>
    <mergeCell ref="Q17:Q18"/>
    <mergeCell ref="R17:R18"/>
    <mergeCell ref="S17:S18"/>
    <mergeCell ref="T17:T18"/>
    <mergeCell ref="U17:U18"/>
    <mergeCell ref="W17:W18"/>
    <mergeCell ref="E11:J11"/>
    <mergeCell ref="K11:O11"/>
    <mergeCell ref="Q11:U11"/>
    <mergeCell ref="W11:AA11"/>
    <mergeCell ref="AC11:AG11"/>
    <mergeCell ref="D15:D16"/>
    <mergeCell ref="I15:I16"/>
    <mergeCell ref="J15:J16"/>
    <mergeCell ref="O15:O16"/>
    <mergeCell ref="P15:P16"/>
    <mergeCell ref="Y5:Y6"/>
    <mergeCell ref="E10:I10"/>
    <mergeCell ref="K10:P10"/>
    <mergeCell ref="Q10:V10"/>
    <mergeCell ref="W10:AA10"/>
    <mergeCell ref="AC10:AG10"/>
    <mergeCell ref="B89:B94"/>
    <mergeCell ref="C89:C90"/>
    <mergeCell ref="C91:C92"/>
    <mergeCell ref="C93:C94"/>
    <mergeCell ref="B78:C79"/>
    <mergeCell ref="B63:C64"/>
    <mergeCell ref="B65:C66"/>
    <mergeCell ref="B67:C68"/>
    <mergeCell ref="B69:C70"/>
    <mergeCell ref="B58:AH58"/>
    <mergeCell ref="D78:D79"/>
    <mergeCell ref="D83:D84"/>
    <mergeCell ref="D85:D86"/>
    <mergeCell ref="D87:D88"/>
    <mergeCell ref="D89:D90"/>
    <mergeCell ref="D91:D92"/>
    <mergeCell ref="B217:C218"/>
    <mergeCell ref="B102:B107"/>
    <mergeCell ref="C102:C103"/>
    <mergeCell ref="C122:C123"/>
    <mergeCell ref="B159:B164"/>
    <mergeCell ref="C181:C182"/>
    <mergeCell ref="C249:C250"/>
    <mergeCell ref="B208:C209"/>
    <mergeCell ref="B210:C211"/>
    <mergeCell ref="B190:C191"/>
    <mergeCell ref="C202:C203"/>
    <mergeCell ref="B95:C95"/>
    <mergeCell ref="B137:B142"/>
    <mergeCell ref="C155:C156"/>
    <mergeCell ref="C183:C184"/>
    <mergeCell ref="C185:C186"/>
    <mergeCell ref="A59:A72"/>
    <mergeCell ref="B71:C72"/>
    <mergeCell ref="B59:C60"/>
    <mergeCell ref="B61:C62"/>
    <mergeCell ref="B83:B88"/>
    <mergeCell ref="C83:C84"/>
    <mergeCell ref="C87:C88"/>
    <mergeCell ref="B74:C75"/>
    <mergeCell ref="B76:C76"/>
    <mergeCell ref="C85:C86"/>
    <mergeCell ref="C177:C178"/>
    <mergeCell ref="C157:C158"/>
    <mergeCell ref="C148:C149"/>
    <mergeCell ref="C171:C172"/>
    <mergeCell ref="B165:B170"/>
    <mergeCell ref="C153:C154"/>
    <mergeCell ref="C169:C170"/>
    <mergeCell ref="B152:C152"/>
    <mergeCell ref="C161:C162"/>
    <mergeCell ref="B153:B158"/>
    <mergeCell ref="C163:C164"/>
    <mergeCell ref="C131:C132"/>
    <mergeCell ref="B143:B145"/>
    <mergeCell ref="A109:A123"/>
    <mergeCell ref="C120:C121"/>
    <mergeCell ref="B109:C109"/>
    <mergeCell ref="C127:C128"/>
    <mergeCell ref="C159:C160"/>
    <mergeCell ref="C146:C147"/>
    <mergeCell ref="C150:C151"/>
    <mergeCell ref="B96:B101"/>
    <mergeCell ref="B112:B117"/>
    <mergeCell ref="B108:C108"/>
    <mergeCell ref="B118:B123"/>
    <mergeCell ref="C96:C97"/>
    <mergeCell ref="C98:C99"/>
    <mergeCell ref="C104:C105"/>
    <mergeCell ref="C106:C107"/>
    <mergeCell ref="C137:C138"/>
    <mergeCell ref="A15:A38"/>
    <mergeCell ref="B33:B38"/>
    <mergeCell ref="C33:C34"/>
    <mergeCell ref="C35:C36"/>
    <mergeCell ref="C37:C38"/>
    <mergeCell ref="C25:C26"/>
    <mergeCell ref="C17:C18"/>
    <mergeCell ref="C19:C20"/>
    <mergeCell ref="C15:C16"/>
    <mergeCell ref="B21:B26"/>
    <mergeCell ref="B15:B20"/>
    <mergeCell ref="B27:B32"/>
    <mergeCell ref="A40:A57"/>
    <mergeCell ref="B40:B45"/>
    <mergeCell ref="C42:C43"/>
    <mergeCell ref="C23:C24"/>
    <mergeCell ref="C52:C53"/>
    <mergeCell ref="C54:C55"/>
    <mergeCell ref="C27:C28"/>
    <mergeCell ref="C21:C22"/>
    <mergeCell ref="C29:C30"/>
    <mergeCell ref="C31:C32"/>
    <mergeCell ref="C44:C45"/>
    <mergeCell ref="C40:C41"/>
    <mergeCell ref="A4:C4"/>
    <mergeCell ref="A7:C7"/>
    <mergeCell ref="B10:B12"/>
    <mergeCell ref="C10:C12"/>
    <mergeCell ref="A5:B5"/>
    <mergeCell ref="A6:B6"/>
    <mergeCell ref="A82:A107"/>
    <mergeCell ref="B125:B130"/>
    <mergeCell ref="B46:B51"/>
    <mergeCell ref="C46:C47"/>
    <mergeCell ref="C48:C49"/>
    <mergeCell ref="C50:C51"/>
    <mergeCell ref="B52:B57"/>
    <mergeCell ref="A74:A79"/>
    <mergeCell ref="C56:C57"/>
    <mergeCell ref="B77:C77"/>
    <mergeCell ref="B131:B136"/>
    <mergeCell ref="C129:C130"/>
    <mergeCell ref="C114:C115"/>
    <mergeCell ref="B110:C111"/>
    <mergeCell ref="C100:C101"/>
    <mergeCell ref="C112:C113"/>
    <mergeCell ref="C133:C134"/>
    <mergeCell ref="C135:C136"/>
    <mergeCell ref="C118:C119"/>
    <mergeCell ref="B14:AH14"/>
    <mergeCell ref="A8:P8"/>
    <mergeCell ref="G17:G18"/>
    <mergeCell ref="H17:H18"/>
    <mergeCell ref="K17:K18"/>
    <mergeCell ref="M17:M18"/>
    <mergeCell ref="N17:N18"/>
    <mergeCell ref="B243:B248"/>
    <mergeCell ref="A226:A235"/>
    <mergeCell ref="A222:A223"/>
    <mergeCell ref="C139:C140"/>
    <mergeCell ref="C116:C117"/>
    <mergeCell ref="C125:C126"/>
    <mergeCell ref="C167:C168"/>
    <mergeCell ref="C165:C166"/>
    <mergeCell ref="A153:A188"/>
    <mergeCell ref="A125:A150"/>
    <mergeCell ref="A190:A193"/>
    <mergeCell ref="C179:C180"/>
    <mergeCell ref="B177:B182"/>
    <mergeCell ref="C175:C176"/>
    <mergeCell ref="C173:C174"/>
    <mergeCell ref="B236:C236"/>
    <mergeCell ref="C187:C188"/>
    <mergeCell ref="B234:C235"/>
    <mergeCell ref="B225:C225"/>
    <mergeCell ref="B215:C216"/>
    <mergeCell ref="B222:B223"/>
    <mergeCell ref="C222:C223"/>
    <mergeCell ref="A213:A218"/>
    <mergeCell ref="B230:C231"/>
    <mergeCell ref="B213:C214"/>
    <mergeCell ref="B232:C233"/>
    <mergeCell ref="B228:C229"/>
    <mergeCell ref="B226:C227"/>
    <mergeCell ref="A196:A211"/>
    <mergeCell ref="B196:C197"/>
    <mergeCell ref="B198:C199"/>
    <mergeCell ref="B200:C201"/>
    <mergeCell ref="C206:C207"/>
    <mergeCell ref="B202:B207"/>
    <mergeCell ref="C204:C205"/>
    <mergeCell ref="B195:AH195"/>
    <mergeCell ref="B212:AH212"/>
    <mergeCell ref="B146:B151"/>
    <mergeCell ref="B192:C193"/>
    <mergeCell ref="B183:B188"/>
    <mergeCell ref="B171:B176"/>
    <mergeCell ref="D146:D147"/>
    <mergeCell ref="D148:D149"/>
    <mergeCell ref="D150:D151"/>
    <mergeCell ref="D153:D154"/>
    <mergeCell ref="C141:C142"/>
    <mergeCell ref="A237:A254"/>
    <mergeCell ref="B237:B242"/>
    <mergeCell ref="C241:C242"/>
    <mergeCell ref="C243:C244"/>
    <mergeCell ref="C245:C246"/>
    <mergeCell ref="C253:C254"/>
    <mergeCell ref="B249:B254"/>
    <mergeCell ref="C239:C240"/>
    <mergeCell ref="C251:C252"/>
    <mergeCell ref="C247:C248"/>
    <mergeCell ref="D247:D248"/>
    <mergeCell ref="D249:D250"/>
    <mergeCell ref="D251:D252"/>
    <mergeCell ref="D253:D254"/>
    <mergeCell ref="E239:E240"/>
    <mergeCell ref="F239:F240"/>
    <mergeCell ref="G239:G240"/>
    <mergeCell ref="H239:H240"/>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55:D156"/>
    <mergeCell ref="D157:D158"/>
    <mergeCell ref="D159:D160"/>
    <mergeCell ref="D161:D162"/>
    <mergeCell ref="D163:D164"/>
    <mergeCell ref="D165:D166"/>
    <mergeCell ref="D167:D168"/>
    <mergeCell ref="D169:D170"/>
    <mergeCell ref="D171:D172"/>
    <mergeCell ref="D173:D174"/>
    <mergeCell ref="D175:D176"/>
    <mergeCell ref="D177:D178"/>
    <mergeCell ref="D245:D246"/>
    <mergeCell ref="D179:D180"/>
    <mergeCell ref="D181:D182"/>
    <mergeCell ref="D183:D184"/>
    <mergeCell ref="D185:D186"/>
    <mergeCell ref="D187:D188"/>
    <mergeCell ref="D190:D191"/>
    <mergeCell ref="D196:D197"/>
    <mergeCell ref="D206:D207"/>
    <mergeCell ref="D210:D211"/>
    <mergeCell ref="B194:AH194"/>
    <mergeCell ref="D192:D193"/>
    <mergeCell ref="D237:D238"/>
    <mergeCell ref="D239:D240"/>
    <mergeCell ref="D241:D242"/>
    <mergeCell ref="D243:D244"/>
    <mergeCell ref="D198:D199"/>
    <mergeCell ref="D208:D209"/>
    <mergeCell ref="A2:M2"/>
    <mergeCell ref="A3:M3"/>
    <mergeCell ref="B73:AH73"/>
    <mergeCell ref="B81:AH81"/>
    <mergeCell ref="B80:AH80"/>
    <mergeCell ref="B189:AH189"/>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A15:AA16"/>
    <mergeCell ref="V15:V16"/>
    <mergeCell ref="AC15:AC16"/>
    <mergeCell ref="AD15:AD16"/>
    <mergeCell ref="AE15:AE16"/>
    <mergeCell ref="AF15:AF16"/>
    <mergeCell ref="AG15:AG16"/>
    <mergeCell ref="E17:E18"/>
    <mergeCell ref="F17:F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AB19:AB20"/>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R23:R24"/>
    <mergeCell ref="S23:S24"/>
    <mergeCell ref="T23:T24"/>
    <mergeCell ref="U23:U24"/>
    <mergeCell ref="W23:W24"/>
    <mergeCell ref="X23:X24"/>
    <mergeCell ref="Y23:Y24"/>
    <mergeCell ref="Z23:Z24"/>
    <mergeCell ref="AA23:AA24"/>
    <mergeCell ref="AC23:AC24"/>
    <mergeCell ref="AD23:AD24"/>
    <mergeCell ref="AE23:AE24"/>
    <mergeCell ref="AB23:AB24"/>
    <mergeCell ref="AF23:AF24"/>
    <mergeCell ref="AG23:AG24"/>
    <mergeCell ref="E25:E26"/>
    <mergeCell ref="F25:F26"/>
    <mergeCell ref="G25:G26"/>
    <mergeCell ref="H25:H26"/>
    <mergeCell ref="K25:K26"/>
    <mergeCell ref="L25:L26"/>
    <mergeCell ref="M25:M26"/>
    <mergeCell ref="N25:N26"/>
    <mergeCell ref="U25:U26"/>
    <mergeCell ref="W25:W26"/>
    <mergeCell ref="X25:X26"/>
    <mergeCell ref="Y25:Y26"/>
    <mergeCell ref="Z25:Z26"/>
    <mergeCell ref="AA25:AA26"/>
    <mergeCell ref="AC25:AC26"/>
    <mergeCell ref="AD25:AD26"/>
    <mergeCell ref="AE25:AE26"/>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E33:E34"/>
    <mergeCell ref="F33:F34"/>
    <mergeCell ref="G33:G34"/>
    <mergeCell ref="H33:H34"/>
    <mergeCell ref="K33:K34"/>
    <mergeCell ref="L33:L34"/>
    <mergeCell ref="M33:M34"/>
    <mergeCell ref="N33:N34"/>
    <mergeCell ref="U33:U34"/>
    <mergeCell ref="W33:W34"/>
    <mergeCell ref="X33:X34"/>
    <mergeCell ref="Y33:Y34"/>
    <mergeCell ref="Z33:Z34"/>
    <mergeCell ref="AA33:AA34"/>
    <mergeCell ref="AC33:AC34"/>
    <mergeCell ref="AD33:AD34"/>
    <mergeCell ref="AE33:AE34"/>
    <mergeCell ref="AA35:AA36"/>
    <mergeCell ref="AC35:AC36"/>
    <mergeCell ref="AD35:AD36"/>
    <mergeCell ref="AE35:AE36"/>
    <mergeCell ref="AF35:AF36"/>
    <mergeCell ref="AG35:AG36"/>
    <mergeCell ref="U31:U32"/>
    <mergeCell ref="W31:W32"/>
    <mergeCell ref="X31:X32"/>
    <mergeCell ref="Y31:Y32"/>
    <mergeCell ref="Z31:Z32"/>
    <mergeCell ref="AA31:AA32"/>
    <mergeCell ref="AC31:AC32"/>
    <mergeCell ref="AD31:AD32"/>
    <mergeCell ref="AE31:AE32"/>
    <mergeCell ref="AF31:AF32"/>
    <mergeCell ref="AG31:AG32"/>
    <mergeCell ref="AF33:AF34"/>
    <mergeCell ref="AG33:AG34"/>
    <mergeCell ref="K37:K38"/>
    <mergeCell ref="L37:L38"/>
    <mergeCell ref="M37:M38"/>
    <mergeCell ref="N37:N38"/>
    <mergeCell ref="Q37:Q38"/>
    <mergeCell ref="R37:R38"/>
    <mergeCell ref="S37:S38"/>
    <mergeCell ref="T37:T38"/>
    <mergeCell ref="U37:U38"/>
    <mergeCell ref="W37:W38"/>
    <mergeCell ref="X37:X38"/>
    <mergeCell ref="Y37:Y38"/>
    <mergeCell ref="Z37:Z38"/>
    <mergeCell ref="M35:M36"/>
    <mergeCell ref="N35:N36"/>
    <mergeCell ref="Q35:Q36"/>
    <mergeCell ref="R35:R36"/>
    <mergeCell ref="S35:S36"/>
    <mergeCell ref="T35:T36"/>
    <mergeCell ref="U35:U36"/>
    <mergeCell ref="W35:W36"/>
    <mergeCell ref="X35:X36"/>
    <mergeCell ref="Y35:Y36"/>
    <mergeCell ref="Z35:Z36"/>
    <mergeCell ref="AA37:AA38"/>
    <mergeCell ref="AC37:AC38"/>
    <mergeCell ref="AD37:AD38"/>
    <mergeCell ref="AE37:AE38"/>
    <mergeCell ref="AF37:AF38"/>
    <mergeCell ref="AG37:AG38"/>
    <mergeCell ref="E40:E41"/>
    <mergeCell ref="F40:F41"/>
    <mergeCell ref="G40:G41"/>
    <mergeCell ref="H40:H41"/>
    <mergeCell ref="K40:K41"/>
    <mergeCell ref="E42:E43"/>
    <mergeCell ref="F42:F43"/>
    <mergeCell ref="G42:G43"/>
    <mergeCell ref="H42:H43"/>
    <mergeCell ref="E44:E45"/>
    <mergeCell ref="F44:F45"/>
    <mergeCell ref="G44:G45"/>
    <mergeCell ref="H44:H45"/>
    <mergeCell ref="Z40:Z41"/>
    <mergeCell ref="Z42:Z43"/>
    <mergeCell ref="Z44:Z45"/>
    <mergeCell ref="AE40:AE41"/>
    <mergeCell ref="AF40:AF41"/>
    <mergeCell ref="AE42:AE43"/>
    <mergeCell ref="AF42:AF43"/>
    <mergeCell ref="AE44:AE45"/>
    <mergeCell ref="AF44:AF45"/>
    <mergeCell ref="F37:F38"/>
    <mergeCell ref="G37:G38"/>
    <mergeCell ref="H37:H38"/>
    <mergeCell ref="I37:I38"/>
    <mergeCell ref="E56:E57"/>
    <mergeCell ref="F56:F57"/>
    <mergeCell ref="G56:G57"/>
    <mergeCell ref="H56:H57"/>
    <mergeCell ref="L40:L41"/>
    <mergeCell ref="M40:M41"/>
    <mergeCell ref="N40:N41"/>
    <mergeCell ref="K42:K43"/>
    <mergeCell ref="L42:L43"/>
    <mergeCell ref="M42:M43"/>
    <mergeCell ref="N42:N43"/>
    <mergeCell ref="K44:K45"/>
    <mergeCell ref="L44:L45"/>
    <mergeCell ref="M44:M45"/>
    <mergeCell ref="N44:N45"/>
    <mergeCell ref="K46:K47"/>
    <mergeCell ref="L46:L47"/>
    <mergeCell ref="M46:M47"/>
    <mergeCell ref="N46:N47"/>
    <mergeCell ref="K48:K49"/>
    <mergeCell ref="L48:L49"/>
    <mergeCell ref="M48:M49"/>
    <mergeCell ref="N48:N49"/>
    <mergeCell ref="K50:K51"/>
    <mergeCell ref="L50:L51"/>
    <mergeCell ref="M50:M51"/>
    <mergeCell ref="N50:N51"/>
    <mergeCell ref="K52:K53"/>
    <mergeCell ref="L52:L53"/>
    <mergeCell ref="M52:M53"/>
    <mergeCell ref="N52:N53"/>
    <mergeCell ref="K54:K55"/>
    <mergeCell ref="L54:L55"/>
    <mergeCell ref="M54:M55"/>
    <mergeCell ref="N54:N55"/>
    <mergeCell ref="K56:K57"/>
    <mergeCell ref="L56:L57"/>
    <mergeCell ref="M56:M57"/>
    <mergeCell ref="N56:N57"/>
    <mergeCell ref="Q40:Q41"/>
    <mergeCell ref="R40:R41"/>
    <mergeCell ref="Q44:Q45"/>
    <mergeCell ref="R44:R45"/>
    <mergeCell ref="Q48:Q49"/>
    <mergeCell ref="R48:R49"/>
    <mergeCell ref="S40:S41"/>
    <mergeCell ref="T40:T41"/>
    <mergeCell ref="Q42:Q43"/>
    <mergeCell ref="R42:R43"/>
    <mergeCell ref="S42:S43"/>
    <mergeCell ref="T42:T43"/>
    <mergeCell ref="S44:S45"/>
    <mergeCell ref="T44:T45"/>
    <mergeCell ref="Q46:Q47"/>
    <mergeCell ref="R46:R47"/>
    <mergeCell ref="S46:S47"/>
    <mergeCell ref="T46:T47"/>
    <mergeCell ref="S48:S49"/>
    <mergeCell ref="T48:T49"/>
    <mergeCell ref="Q50:Q51"/>
    <mergeCell ref="R50:R51"/>
    <mergeCell ref="S50:S51"/>
    <mergeCell ref="T50:T51"/>
    <mergeCell ref="Q52:Q53"/>
    <mergeCell ref="S52:S53"/>
    <mergeCell ref="T52:T53"/>
    <mergeCell ref="Q54:Q55"/>
    <mergeCell ref="R54:R55"/>
    <mergeCell ref="S54:S55"/>
    <mergeCell ref="T54:T55"/>
    <mergeCell ref="Q56:Q57"/>
    <mergeCell ref="R56:R57"/>
    <mergeCell ref="S56:S57"/>
    <mergeCell ref="T56:T57"/>
    <mergeCell ref="W40:W41"/>
    <mergeCell ref="X40:X41"/>
    <mergeCell ref="W44:W45"/>
    <mergeCell ref="X44:X45"/>
    <mergeCell ref="W48:W49"/>
    <mergeCell ref="X48:X49"/>
    <mergeCell ref="Y40:Y41"/>
    <mergeCell ref="W42:W43"/>
    <mergeCell ref="X42:X43"/>
    <mergeCell ref="Y42:Y43"/>
    <mergeCell ref="Y44:Y45"/>
    <mergeCell ref="W46:W47"/>
    <mergeCell ref="X46:X47"/>
    <mergeCell ref="Y46:Y47"/>
    <mergeCell ref="Y48:Y49"/>
    <mergeCell ref="W50:W51"/>
    <mergeCell ref="X50:X51"/>
    <mergeCell ref="Y50:Y51"/>
    <mergeCell ref="Z50:Z51"/>
    <mergeCell ref="W52:W53"/>
    <mergeCell ref="X52:X53"/>
    <mergeCell ref="Y52:Y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C42:AC43"/>
    <mergeCell ref="AD42:AD43"/>
    <mergeCell ref="AC46:AC47"/>
    <mergeCell ref="AD46:AD47"/>
    <mergeCell ref="AE48:AE49"/>
    <mergeCell ref="AF48:AF49"/>
    <mergeCell ref="AC50:AC51"/>
    <mergeCell ref="AD50:AD51"/>
    <mergeCell ref="AE50:AE51"/>
    <mergeCell ref="AF50:AF51"/>
    <mergeCell ref="AC52:AC53"/>
    <mergeCell ref="AD52:AD53"/>
    <mergeCell ref="AE52:AE53"/>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E61:E62"/>
    <mergeCell ref="F61:F62"/>
    <mergeCell ref="G61:G62"/>
    <mergeCell ref="H61:H62"/>
    <mergeCell ref="E63:E64"/>
    <mergeCell ref="F63:F64"/>
    <mergeCell ref="G63:G64"/>
    <mergeCell ref="H63:H64"/>
    <mergeCell ref="M59:M60"/>
    <mergeCell ref="N59:N60"/>
    <mergeCell ref="K61:K62"/>
    <mergeCell ref="L61:L62"/>
    <mergeCell ref="M61:M62"/>
    <mergeCell ref="N61:N62"/>
    <mergeCell ref="Q59:Q60"/>
    <mergeCell ref="R59:R60"/>
    <mergeCell ref="S59:S60"/>
    <mergeCell ref="T59:T60"/>
    <mergeCell ref="Q61:Q62"/>
    <mergeCell ref="R61:R62"/>
    <mergeCell ref="S61:S62"/>
    <mergeCell ref="T61:T62"/>
    <mergeCell ref="Q63:Q64"/>
    <mergeCell ref="R63:R64"/>
    <mergeCell ref="S63:S64"/>
    <mergeCell ref="T63:T64"/>
    <mergeCell ref="Q65:Q66"/>
    <mergeCell ref="R65:R66"/>
    <mergeCell ref="S65:S66"/>
    <mergeCell ref="T65:T66"/>
    <mergeCell ref="Q67:Q68"/>
    <mergeCell ref="R67:R68"/>
    <mergeCell ref="S67:S68"/>
    <mergeCell ref="T67:T68"/>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69:W70"/>
    <mergeCell ref="X69:X70"/>
    <mergeCell ref="Y69:Y70"/>
    <mergeCell ref="Z69:Z70"/>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E74:E75"/>
    <mergeCell ref="F74:F75"/>
    <mergeCell ref="G74:G75"/>
    <mergeCell ref="H74:H75"/>
    <mergeCell ref="M74:M75"/>
    <mergeCell ref="N74:N75"/>
    <mergeCell ref="E78:E79"/>
    <mergeCell ref="F78:F79"/>
    <mergeCell ref="G78:G79"/>
    <mergeCell ref="H78:H79"/>
    <mergeCell ref="K74:K75"/>
    <mergeCell ref="L74:L75"/>
    <mergeCell ref="K78:K79"/>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Z78:Z79"/>
    <mergeCell ref="AC74:AC75"/>
    <mergeCell ref="AD74:AD75"/>
    <mergeCell ref="AE74:AE75"/>
    <mergeCell ref="AF74:AF75"/>
    <mergeCell ref="AC78:AC79"/>
    <mergeCell ref="AD78:AD79"/>
    <mergeCell ref="AE78:AE79"/>
    <mergeCell ref="AF78:AF79"/>
    <mergeCell ref="E83:E84"/>
    <mergeCell ref="F83:F84"/>
    <mergeCell ref="G83:G84"/>
    <mergeCell ref="H83:H84"/>
    <mergeCell ref="E85:E86"/>
    <mergeCell ref="F85:F86"/>
    <mergeCell ref="G85:G86"/>
    <mergeCell ref="H85:H86"/>
    <mergeCell ref="E87:E88"/>
    <mergeCell ref="F87:F88"/>
    <mergeCell ref="G87:G88"/>
    <mergeCell ref="H87:H88"/>
    <mergeCell ref="E89:E90"/>
    <mergeCell ref="F89:F90"/>
    <mergeCell ref="G89:G90"/>
    <mergeCell ref="H89:H90"/>
    <mergeCell ref="E91:E92"/>
    <mergeCell ref="F91:F92"/>
    <mergeCell ref="G91:G92"/>
    <mergeCell ref="H91:H92"/>
    <mergeCell ref="Q83:Q84"/>
    <mergeCell ref="R83:R84"/>
    <mergeCell ref="S83:S84"/>
    <mergeCell ref="T83:T84"/>
    <mergeCell ref="Q85:Q86"/>
    <mergeCell ref="R85:R86"/>
    <mergeCell ref="S85:S86"/>
    <mergeCell ref="T85:T86"/>
    <mergeCell ref="Q87:Q88"/>
    <mergeCell ref="R87:R88"/>
    <mergeCell ref="S87:S88"/>
    <mergeCell ref="T87:T88"/>
    <mergeCell ref="Q89:Q90"/>
    <mergeCell ref="R89:R90"/>
    <mergeCell ref="S89:S90"/>
    <mergeCell ref="T89:T90"/>
    <mergeCell ref="Q91:Q92"/>
    <mergeCell ref="R91:R92"/>
    <mergeCell ref="S91:S92"/>
    <mergeCell ref="T91:T92"/>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N91:N92"/>
    <mergeCell ref="K93:K94"/>
    <mergeCell ref="L93:L94"/>
    <mergeCell ref="M93:M94"/>
    <mergeCell ref="N93:N94"/>
    <mergeCell ref="Q93:Q94"/>
    <mergeCell ref="R93:R94"/>
    <mergeCell ref="S93:S94"/>
    <mergeCell ref="T93:T94"/>
    <mergeCell ref="W93:W94"/>
    <mergeCell ref="X93:X94"/>
    <mergeCell ref="Y93:Y94"/>
    <mergeCell ref="Z93:Z94"/>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X83:X84"/>
    <mergeCell ref="Y83:Y84"/>
    <mergeCell ref="Z83:Z84"/>
    <mergeCell ref="W85:W86"/>
    <mergeCell ref="G102:G103"/>
    <mergeCell ref="H102:H103"/>
    <mergeCell ref="E104:E105"/>
    <mergeCell ref="F104:F105"/>
    <mergeCell ref="G104:G105"/>
    <mergeCell ref="H104:H105"/>
    <mergeCell ref="E106:E107"/>
    <mergeCell ref="F106:F107"/>
    <mergeCell ref="G106:G107"/>
    <mergeCell ref="H106:H107"/>
    <mergeCell ref="K96:K97"/>
    <mergeCell ref="L96:L97"/>
    <mergeCell ref="K100:K101"/>
    <mergeCell ref="L100:L101"/>
    <mergeCell ref="K104:K105"/>
    <mergeCell ref="L104:L105"/>
    <mergeCell ref="M96:M97"/>
    <mergeCell ref="J100:J101"/>
    <mergeCell ref="N96:N97"/>
    <mergeCell ref="K98:K99"/>
    <mergeCell ref="L98:L99"/>
    <mergeCell ref="M98:M99"/>
    <mergeCell ref="N98:N99"/>
    <mergeCell ref="M100:M101"/>
    <mergeCell ref="N100:N101"/>
    <mergeCell ref="K102:K103"/>
    <mergeCell ref="L102:L103"/>
    <mergeCell ref="M102:M103"/>
    <mergeCell ref="N102:N103"/>
    <mergeCell ref="M104:M105"/>
    <mergeCell ref="N104:N105"/>
    <mergeCell ref="K106:K107"/>
    <mergeCell ref="L106:L107"/>
    <mergeCell ref="M106:M107"/>
    <mergeCell ref="N106:N107"/>
    <mergeCell ref="Q96:Q97"/>
    <mergeCell ref="R96:R97"/>
    <mergeCell ref="S96:S97"/>
    <mergeCell ref="T96:T97"/>
    <mergeCell ref="Q98:Q99"/>
    <mergeCell ref="R98:R99"/>
    <mergeCell ref="S98:S99"/>
    <mergeCell ref="T98:T99"/>
    <mergeCell ref="Q100:Q101"/>
    <mergeCell ref="R100:R101"/>
    <mergeCell ref="S100:S101"/>
    <mergeCell ref="T100:T101"/>
    <mergeCell ref="Q102:Q103"/>
    <mergeCell ref="R102:R103"/>
    <mergeCell ref="S102:S103"/>
    <mergeCell ref="T102:T103"/>
    <mergeCell ref="Q104:Q105"/>
    <mergeCell ref="R104:R105"/>
    <mergeCell ref="S104:S105"/>
    <mergeCell ref="T104:T105"/>
    <mergeCell ref="X96:X97"/>
    <mergeCell ref="Y96:Y97"/>
    <mergeCell ref="Z96:Z97"/>
    <mergeCell ref="W98:W99"/>
    <mergeCell ref="X98:X99"/>
    <mergeCell ref="Y98:Y99"/>
    <mergeCell ref="Z98:Z99"/>
    <mergeCell ref="W96:W97"/>
    <mergeCell ref="X100:X101"/>
    <mergeCell ref="Y100:Y101"/>
    <mergeCell ref="Z100:Z101"/>
    <mergeCell ref="W102:W103"/>
    <mergeCell ref="X102:X103"/>
    <mergeCell ref="Y102:Y103"/>
    <mergeCell ref="Z102:Z103"/>
    <mergeCell ref="W100:W101"/>
    <mergeCell ref="X104:X105"/>
    <mergeCell ref="Y104:Y105"/>
    <mergeCell ref="Z104:Z105"/>
    <mergeCell ref="W104:W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M110:M111"/>
    <mergeCell ref="N110:N111"/>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2:AC123"/>
    <mergeCell ref="AD122:AD123"/>
    <mergeCell ref="AE122:AE123"/>
    <mergeCell ref="AF122:AF123"/>
    <mergeCell ref="B124:AH124"/>
    <mergeCell ref="J125:J126"/>
    <mergeCell ref="K125:K126"/>
    <mergeCell ref="L125:L126"/>
    <mergeCell ref="M125:M126"/>
    <mergeCell ref="N125:N126"/>
    <mergeCell ref="K127:K128"/>
    <mergeCell ref="L127:L128"/>
    <mergeCell ref="M127:M128"/>
    <mergeCell ref="N127:N128"/>
    <mergeCell ref="K129:K130"/>
    <mergeCell ref="L129:L130"/>
    <mergeCell ref="M129:M130"/>
    <mergeCell ref="N129:N130"/>
    <mergeCell ref="E125:E126"/>
    <mergeCell ref="F125:F126"/>
    <mergeCell ref="G125:G126"/>
    <mergeCell ref="H125:H126"/>
    <mergeCell ref="E127:E128"/>
    <mergeCell ref="F127:F128"/>
    <mergeCell ref="G127:G128"/>
    <mergeCell ref="H127:H128"/>
    <mergeCell ref="E129:E130"/>
    <mergeCell ref="F129:F130"/>
    <mergeCell ref="G129:G130"/>
    <mergeCell ref="H129:H130"/>
    <mergeCell ref="W125:W126"/>
    <mergeCell ref="X125:X126"/>
    <mergeCell ref="K131:K132"/>
    <mergeCell ref="L131:L132"/>
    <mergeCell ref="M131:M132"/>
    <mergeCell ref="N131:N132"/>
    <mergeCell ref="K133:K134"/>
    <mergeCell ref="L133:L134"/>
    <mergeCell ref="M133:M134"/>
    <mergeCell ref="N133:N134"/>
    <mergeCell ref="K135:K136"/>
    <mergeCell ref="L135:L136"/>
    <mergeCell ref="M135:M136"/>
    <mergeCell ref="N135:N136"/>
    <mergeCell ref="K137:K138"/>
    <mergeCell ref="L137:L138"/>
    <mergeCell ref="M137:M138"/>
    <mergeCell ref="N137:N138"/>
    <mergeCell ref="K139:K140"/>
    <mergeCell ref="L139:L140"/>
    <mergeCell ref="M139:M140"/>
    <mergeCell ref="N139:N140"/>
    <mergeCell ref="E131:E132"/>
    <mergeCell ref="F131:F132"/>
    <mergeCell ref="G131:G132"/>
    <mergeCell ref="H131:H132"/>
    <mergeCell ref="E133:E134"/>
    <mergeCell ref="F133:F134"/>
    <mergeCell ref="G133:G134"/>
    <mergeCell ref="H133:H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Q125:Q126"/>
    <mergeCell ref="R125:R126"/>
    <mergeCell ref="Q129:Q130"/>
    <mergeCell ref="R129:R130"/>
    <mergeCell ref="Q133:Q134"/>
    <mergeCell ref="R133:R134"/>
    <mergeCell ref="S125:S126"/>
    <mergeCell ref="T125:T126"/>
    <mergeCell ref="Q127:Q128"/>
    <mergeCell ref="R127:R128"/>
    <mergeCell ref="S127:S128"/>
    <mergeCell ref="T127:T128"/>
    <mergeCell ref="S129:S130"/>
    <mergeCell ref="T129:T130"/>
    <mergeCell ref="Q131:Q132"/>
    <mergeCell ref="R131:R132"/>
    <mergeCell ref="S131:S132"/>
    <mergeCell ref="T131:T132"/>
    <mergeCell ref="S133:S134"/>
    <mergeCell ref="T133:T134"/>
    <mergeCell ref="Q135:Q136"/>
    <mergeCell ref="R135:R136"/>
    <mergeCell ref="S135:S136"/>
    <mergeCell ref="T135:T136"/>
    <mergeCell ref="Q137:Q138"/>
    <mergeCell ref="R137:R138"/>
    <mergeCell ref="S137:S138"/>
    <mergeCell ref="T137:T138"/>
    <mergeCell ref="AC135:AC136"/>
    <mergeCell ref="AD135:AD136"/>
    <mergeCell ref="AE135:AE136"/>
    <mergeCell ref="AF135:AF136"/>
    <mergeCell ref="W129:W130"/>
    <mergeCell ref="X129:X130"/>
    <mergeCell ref="W133:W134"/>
    <mergeCell ref="X133:X134"/>
    <mergeCell ref="Y125:Y126"/>
    <mergeCell ref="Z125:Z126"/>
    <mergeCell ref="W127:W128"/>
    <mergeCell ref="X127:X128"/>
    <mergeCell ref="Y127:Y128"/>
    <mergeCell ref="Z127:Z128"/>
    <mergeCell ref="Y129:Y130"/>
    <mergeCell ref="Z129:Z130"/>
    <mergeCell ref="W131:W132"/>
    <mergeCell ref="X131:X132"/>
    <mergeCell ref="Y131:Y132"/>
    <mergeCell ref="Z131:Z132"/>
    <mergeCell ref="Y133:Y134"/>
    <mergeCell ref="Z133:Z134"/>
    <mergeCell ref="AC125:AC126"/>
    <mergeCell ref="AD125:AD126"/>
    <mergeCell ref="AC129:AC130"/>
    <mergeCell ref="AD129:AD130"/>
    <mergeCell ref="AC133:AC134"/>
    <mergeCell ref="AD133:AD134"/>
    <mergeCell ref="AE125:AE126"/>
    <mergeCell ref="AF125:AF126"/>
    <mergeCell ref="AC127:AC128"/>
    <mergeCell ref="AD127:AD128"/>
    <mergeCell ref="AE127:AE128"/>
    <mergeCell ref="AF127:AF128"/>
    <mergeCell ref="AE129:AE130"/>
    <mergeCell ref="AF129:AF130"/>
    <mergeCell ref="AC131:AC132"/>
    <mergeCell ref="AD131:AD132"/>
    <mergeCell ref="AE131:AE132"/>
    <mergeCell ref="AF131:AF132"/>
    <mergeCell ref="AE133:AE134"/>
    <mergeCell ref="AF133:AF134"/>
    <mergeCell ref="AC137:AC138"/>
    <mergeCell ref="AD137:AD138"/>
    <mergeCell ref="AE137:AE138"/>
    <mergeCell ref="AF137:AF138"/>
    <mergeCell ref="AC139:AC140"/>
    <mergeCell ref="AD139:AD140"/>
    <mergeCell ref="AE139:AE140"/>
    <mergeCell ref="AF139:AF140"/>
    <mergeCell ref="AC141:AC142"/>
    <mergeCell ref="AD141:AD142"/>
    <mergeCell ref="AE141:AE142"/>
    <mergeCell ref="AF141:AF142"/>
    <mergeCell ref="K146:K147"/>
    <mergeCell ref="L146:L147"/>
    <mergeCell ref="M146:M147"/>
    <mergeCell ref="N146:N147"/>
    <mergeCell ref="Q146:Q147"/>
    <mergeCell ref="R146:R147"/>
    <mergeCell ref="Y146:Y147"/>
    <mergeCell ref="Z146:Z147"/>
    <mergeCell ref="W139:W140"/>
    <mergeCell ref="X139:X140"/>
    <mergeCell ref="Y139:Y140"/>
    <mergeCell ref="Z139:Z140"/>
    <mergeCell ref="W141:W142"/>
    <mergeCell ref="X141:X142"/>
    <mergeCell ref="Y141:Y142"/>
    <mergeCell ref="Z141:Z142"/>
    <mergeCell ref="S146:S147"/>
    <mergeCell ref="T146:T147"/>
    <mergeCell ref="Q148:Q149"/>
    <mergeCell ref="R148:R149"/>
    <mergeCell ref="S148:S149"/>
    <mergeCell ref="T148:T149"/>
    <mergeCell ref="Q150:Q151"/>
    <mergeCell ref="R150:R151"/>
    <mergeCell ref="S150:S151"/>
    <mergeCell ref="T150:T151"/>
    <mergeCell ref="W146:W147"/>
    <mergeCell ref="X146:X147"/>
    <mergeCell ref="W150:W151"/>
    <mergeCell ref="X150:X151"/>
    <mergeCell ref="U148:U149"/>
    <mergeCell ref="U150:U151"/>
    <mergeCell ref="W148:W149"/>
    <mergeCell ref="X148:X149"/>
    <mergeCell ref="Y148:Y149"/>
    <mergeCell ref="Z148:Z149"/>
    <mergeCell ref="Y150:Y151"/>
    <mergeCell ref="Z150:Z151"/>
    <mergeCell ref="AC146:AC147"/>
    <mergeCell ref="AD146:AD147"/>
    <mergeCell ref="AE146:AE147"/>
    <mergeCell ref="AF146:AF147"/>
    <mergeCell ref="AC148:AC149"/>
    <mergeCell ref="AD148:AD149"/>
    <mergeCell ref="AE148:AE149"/>
    <mergeCell ref="AF148:AF149"/>
    <mergeCell ref="AC150:AC151"/>
    <mergeCell ref="AD150:AD151"/>
    <mergeCell ref="AE150:AE151"/>
    <mergeCell ref="AF150:AF151"/>
    <mergeCell ref="E146:E147"/>
    <mergeCell ref="F146:F147"/>
    <mergeCell ref="G146:G147"/>
    <mergeCell ref="H146:H147"/>
    <mergeCell ref="E148:E149"/>
    <mergeCell ref="F148:F149"/>
    <mergeCell ref="G148:G149"/>
    <mergeCell ref="H148:H149"/>
    <mergeCell ref="E150:E151"/>
    <mergeCell ref="F150:F151"/>
    <mergeCell ref="G150:G151"/>
    <mergeCell ref="H150:H151"/>
    <mergeCell ref="K150:K151"/>
    <mergeCell ref="L150:L151"/>
    <mergeCell ref="M150:M151"/>
    <mergeCell ref="N150:N151"/>
    <mergeCell ref="K159:K160"/>
    <mergeCell ref="L159:L160"/>
    <mergeCell ref="M159:M160"/>
    <mergeCell ref="N159:N160"/>
    <mergeCell ref="K161:K162"/>
    <mergeCell ref="L161:L162"/>
    <mergeCell ref="M161:M162"/>
    <mergeCell ref="N161:N162"/>
    <mergeCell ref="K163:K164"/>
    <mergeCell ref="L163:L164"/>
    <mergeCell ref="M163:M164"/>
    <mergeCell ref="N163:N164"/>
    <mergeCell ref="K165:K166"/>
    <mergeCell ref="L165:L166"/>
    <mergeCell ref="M165:M166"/>
    <mergeCell ref="N165:N166"/>
    <mergeCell ref="K167:K168"/>
    <mergeCell ref="L167:L168"/>
    <mergeCell ref="M167:M168"/>
    <mergeCell ref="N167:N168"/>
    <mergeCell ref="K175:K176"/>
    <mergeCell ref="L175:L176"/>
    <mergeCell ref="M175:M176"/>
    <mergeCell ref="N175:N176"/>
    <mergeCell ref="K177:K178"/>
    <mergeCell ref="L177:L178"/>
    <mergeCell ref="M177:M178"/>
    <mergeCell ref="N177:N178"/>
    <mergeCell ref="K179:K180"/>
    <mergeCell ref="L179:L180"/>
    <mergeCell ref="M179:M180"/>
    <mergeCell ref="N179:N180"/>
    <mergeCell ref="K181:K182"/>
    <mergeCell ref="L181:L182"/>
    <mergeCell ref="M181:M182"/>
    <mergeCell ref="N181:N182"/>
    <mergeCell ref="K183:K184"/>
    <mergeCell ref="L183:L184"/>
    <mergeCell ref="M183:M184"/>
    <mergeCell ref="N183:N184"/>
    <mergeCell ref="Q175:Q176"/>
    <mergeCell ref="R175:R176"/>
    <mergeCell ref="S175:S176"/>
    <mergeCell ref="T175:T176"/>
    <mergeCell ref="Q177:Q178"/>
    <mergeCell ref="R177:R178"/>
    <mergeCell ref="S177:S178"/>
    <mergeCell ref="T177:T178"/>
    <mergeCell ref="Q153:Q154"/>
    <mergeCell ref="R153:R154"/>
    <mergeCell ref="S153:S154"/>
    <mergeCell ref="T153:T154"/>
    <mergeCell ref="Q155:Q156"/>
    <mergeCell ref="R155:R156"/>
    <mergeCell ref="S155:S156"/>
    <mergeCell ref="T155:T156"/>
    <mergeCell ref="Q157:Q158"/>
    <mergeCell ref="R157:R158"/>
    <mergeCell ref="S157:S158"/>
    <mergeCell ref="T157:T158"/>
    <mergeCell ref="Q159:Q160"/>
    <mergeCell ref="R159:R160"/>
    <mergeCell ref="S159:S160"/>
    <mergeCell ref="T159:T160"/>
    <mergeCell ref="Q161:Q162"/>
    <mergeCell ref="R161:R162"/>
    <mergeCell ref="S161:S162"/>
    <mergeCell ref="T161:T162"/>
    <mergeCell ref="W163:W164"/>
    <mergeCell ref="X163:X164"/>
    <mergeCell ref="Y163:Y164"/>
    <mergeCell ref="Z163:Z164"/>
    <mergeCell ref="W165:W166"/>
    <mergeCell ref="X165:X166"/>
    <mergeCell ref="Y165:Y166"/>
    <mergeCell ref="Z165:Z166"/>
    <mergeCell ref="Q169:Q170"/>
    <mergeCell ref="R169:R170"/>
    <mergeCell ref="S169:S170"/>
    <mergeCell ref="T169:T170"/>
    <mergeCell ref="Q171:Q172"/>
    <mergeCell ref="R171:R172"/>
    <mergeCell ref="S171:S172"/>
    <mergeCell ref="T171:T172"/>
    <mergeCell ref="Q173:Q174"/>
    <mergeCell ref="R173:R174"/>
    <mergeCell ref="S173:S174"/>
    <mergeCell ref="T173:T174"/>
    <mergeCell ref="W153:W154"/>
    <mergeCell ref="X153:X154"/>
    <mergeCell ref="Y153:Y154"/>
    <mergeCell ref="Z153:Z154"/>
    <mergeCell ref="W155:W156"/>
    <mergeCell ref="X155:X156"/>
    <mergeCell ref="Y155:Y156"/>
    <mergeCell ref="Z155:Z156"/>
    <mergeCell ref="W157:W158"/>
    <mergeCell ref="X157:X158"/>
    <mergeCell ref="Y157:Y158"/>
    <mergeCell ref="Z157:Z158"/>
    <mergeCell ref="W159:W160"/>
    <mergeCell ref="X159:X160"/>
    <mergeCell ref="Y159:Y160"/>
    <mergeCell ref="Z159:Z160"/>
    <mergeCell ref="W161:W162"/>
    <mergeCell ref="X161:X162"/>
    <mergeCell ref="Y161:Y162"/>
    <mergeCell ref="Z161:Z162"/>
    <mergeCell ref="W167:W168"/>
    <mergeCell ref="X167:X168"/>
    <mergeCell ref="Y167:Y168"/>
    <mergeCell ref="Z167:Z168"/>
    <mergeCell ref="W169:W170"/>
    <mergeCell ref="X169:X170"/>
    <mergeCell ref="Y169:Y170"/>
    <mergeCell ref="Z169:Z170"/>
    <mergeCell ref="W171:W172"/>
    <mergeCell ref="X171:X172"/>
    <mergeCell ref="Y171:Y172"/>
    <mergeCell ref="Z171:Z172"/>
    <mergeCell ref="W173:W174"/>
    <mergeCell ref="X173:X174"/>
    <mergeCell ref="Y173:Y174"/>
    <mergeCell ref="Z173:Z174"/>
    <mergeCell ref="W175:W176"/>
    <mergeCell ref="X175:X176"/>
    <mergeCell ref="Y175:Y176"/>
    <mergeCell ref="Z175:Z176"/>
    <mergeCell ref="W177:W178"/>
    <mergeCell ref="X177:X178"/>
    <mergeCell ref="Y177:Y178"/>
    <mergeCell ref="Z177:Z178"/>
    <mergeCell ref="W179:W180"/>
    <mergeCell ref="X179:X180"/>
    <mergeCell ref="Y179:Y180"/>
    <mergeCell ref="Z179:Z180"/>
    <mergeCell ref="W181:W182"/>
    <mergeCell ref="X181:X182"/>
    <mergeCell ref="Y181:Y182"/>
    <mergeCell ref="Z181:Z182"/>
    <mergeCell ref="W183:W184"/>
    <mergeCell ref="X183:X184"/>
    <mergeCell ref="Y183:Y184"/>
    <mergeCell ref="Z183:Z184"/>
    <mergeCell ref="W185:W186"/>
    <mergeCell ref="X185:X186"/>
    <mergeCell ref="Y185:Y186"/>
    <mergeCell ref="Z185:Z186"/>
    <mergeCell ref="W187:W188"/>
    <mergeCell ref="X187:X188"/>
    <mergeCell ref="Y187:Y188"/>
    <mergeCell ref="Z187:Z188"/>
    <mergeCell ref="AC153:AC154"/>
    <mergeCell ref="AD153:AD154"/>
    <mergeCell ref="AE153:AE154"/>
    <mergeCell ref="AF153:AF154"/>
    <mergeCell ref="AC155:AC156"/>
    <mergeCell ref="AD155:AD156"/>
    <mergeCell ref="AE155:AE156"/>
    <mergeCell ref="AF155:AF156"/>
    <mergeCell ref="AC157:AC158"/>
    <mergeCell ref="AD157:AD158"/>
    <mergeCell ref="AE157:AE158"/>
    <mergeCell ref="AF157:AF158"/>
    <mergeCell ref="AC159:AC160"/>
    <mergeCell ref="AD159:AD160"/>
    <mergeCell ref="AE159:AE160"/>
    <mergeCell ref="AF159:AF160"/>
    <mergeCell ref="AC161:AC162"/>
    <mergeCell ref="AD161:AD162"/>
    <mergeCell ref="AE161:AE162"/>
    <mergeCell ref="AF161:AF162"/>
    <mergeCell ref="AC163:AC164"/>
    <mergeCell ref="AD163:AD164"/>
    <mergeCell ref="AE163:AE164"/>
    <mergeCell ref="AF163:AF164"/>
    <mergeCell ref="AC165:AC166"/>
    <mergeCell ref="AD165:AD166"/>
    <mergeCell ref="AE165:AE166"/>
    <mergeCell ref="AF165:AF166"/>
    <mergeCell ref="AC167:AC168"/>
    <mergeCell ref="AD167:AD168"/>
    <mergeCell ref="AE167:AE168"/>
    <mergeCell ref="AF167:AF168"/>
    <mergeCell ref="AC169:AC170"/>
    <mergeCell ref="AD169:AD170"/>
    <mergeCell ref="AE169:AE170"/>
    <mergeCell ref="AF169:AF170"/>
    <mergeCell ref="AC171:AC172"/>
    <mergeCell ref="AD171:AD172"/>
    <mergeCell ref="AE171:AE172"/>
    <mergeCell ref="AF171:AF172"/>
    <mergeCell ref="AC173:AC174"/>
    <mergeCell ref="AD173:AD174"/>
    <mergeCell ref="AE173:AE174"/>
    <mergeCell ref="AF173:AF174"/>
    <mergeCell ref="AC175:AC176"/>
    <mergeCell ref="AD175:AD176"/>
    <mergeCell ref="AE175:AE176"/>
    <mergeCell ref="AF175:AF176"/>
    <mergeCell ref="AC177:AC178"/>
    <mergeCell ref="AD177:AD178"/>
    <mergeCell ref="AE177:AE178"/>
    <mergeCell ref="AF177:AF178"/>
    <mergeCell ref="AC179:AC180"/>
    <mergeCell ref="AD179:AD180"/>
    <mergeCell ref="AE179:AE180"/>
    <mergeCell ref="AF179:AF180"/>
    <mergeCell ref="AC181:AC182"/>
    <mergeCell ref="AD181:AD182"/>
    <mergeCell ref="AE181:AE182"/>
    <mergeCell ref="AF181:AF182"/>
    <mergeCell ref="AC183:AC184"/>
    <mergeCell ref="AD183:AD184"/>
    <mergeCell ref="AE183:AE184"/>
    <mergeCell ref="AF183:AF184"/>
    <mergeCell ref="AC185:AC186"/>
    <mergeCell ref="AD185:AD186"/>
    <mergeCell ref="AE185:AE186"/>
    <mergeCell ref="AF185:AF186"/>
    <mergeCell ref="AC187:AC188"/>
    <mergeCell ref="AD187:AD188"/>
    <mergeCell ref="AE187:AE188"/>
    <mergeCell ref="AF187:AF188"/>
    <mergeCell ref="E153:E154"/>
    <mergeCell ref="F153:F154"/>
    <mergeCell ref="G153:G154"/>
    <mergeCell ref="H153:H154"/>
    <mergeCell ref="E155:E156"/>
    <mergeCell ref="F155:F156"/>
    <mergeCell ref="G155:G156"/>
    <mergeCell ref="H155:H156"/>
    <mergeCell ref="E157:E158"/>
    <mergeCell ref="F157:F158"/>
    <mergeCell ref="G157:G158"/>
    <mergeCell ref="H157:H158"/>
    <mergeCell ref="E159:E160"/>
    <mergeCell ref="F159:F160"/>
    <mergeCell ref="G159:G160"/>
    <mergeCell ref="H159:H160"/>
    <mergeCell ref="E161:E162"/>
    <mergeCell ref="F161:F162"/>
    <mergeCell ref="G161:G162"/>
    <mergeCell ref="H161:H162"/>
    <mergeCell ref="E163:E164"/>
    <mergeCell ref="F163:F164"/>
    <mergeCell ref="G163:G164"/>
    <mergeCell ref="H163:H164"/>
    <mergeCell ref="E165:E166"/>
    <mergeCell ref="F165:F166"/>
    <mergeCell ref="G165:G166"/>
    <mergeCell ref="H165:H166"/>
    <mergeCell ref="E167:E168"/>
    <mergeCell ref="F167:F168"/>
    <mergeCell ref="G167:G168"/>
    <mergeCell ref="H167:H168"/>
    <mergeCell ref="E169:E170"/>
    <mergeCell ref="F169:F170"/>
    <mergeCell ref="G169:G170"/>
    <mergeCell ref="H169:H170"/>
    <mergeCell ref="E171:E172"/>
    <mergeCell ref="F171:F172"/>
    <mergeCell ref="G171:G172"/>
    <mergeCell ref="H171:H172"/>
    <mergeCell ref="E173:E174"/>
    <mergeCell ref="F173:F174"/>
    <mergeCell ref="G173:G174"/>
    <mergeCell ref="H173:H174"/>
    <mergeCell ref="E175:E176"/>
    <mergeCell ref="F175:F176"/>
    <mergeCell ref="G175:G176"/>
    <mergeCell ref="H175:H176"/>
    <mergeCell ref="E177:E178"/>
    <mergeCell ref="F177:F178"/>
    <mergeCell ref="G177:G178"/>
    <mergeCell ref="H177:H178"/>
    <mergeCell ref="E179:E180"/>
    <mergeCell ref="F179:F180"/>
    <mergeCell ref="G179:G180"/>
    <mergeCell ref="H179:H180"/>
    <mergeCell ref="E181:E182"/>
    <mergeCell ref="F181:F182"/>
    <mergeCell ref="G181:G182"/>
    <mergeCell ref="H181:H182"/>
    <mergeCell ref="E183:E184"/>
    <mergeCell ref="F183:F184"/>
    <mergeCell ref="G183:G184"/>
    <mergeCell ref="H183:H184"/>
    <mergeCell ref="E185:E186"/>
    <mergeCell ref="F185:F186"/>
    <mergeCell ref="G185:G186"/>
    <mergeCell ref="H185:H186"/>
    <mergeCell ref="E187:E188"/>
    <mergeCell ref="F187:F188"/>
    <mergeCell ref="G187:G188"/>
    <mergeCell ref="H187:H188"/>
    <mergeCell ref="K190:K191"/>
    <mergeCell ref="L190:L191"/>
    <mergeCell ref="M190:M191"/>
    <mergeCell ref="N190:N191"/>
    <mergeCell ref="K192:K193"/>
    <mergeCell ref="L192:L193"/>
    <mergeCell ref="M192:M193"/>
    <mergeCell ref="N192:N193"/>
    <mergeCell ref="Q190:Q191"/>
    <mergeCell ref="R190:R191"/>
    <mergeCell ref="S190:S191"/>
    <mergeCell ref="T190:T191"/>
    <mergeCell ref="Q192:Q193"/>
    <mergeCell ref="R192:R193"/>
    <mergeCell ref="S192:S193"/>
    <mergeCell ref="T192:T193"/>
    <mergeCell ref="Q187:Q188"/>
    <mergeCell ref="R187:R188"/>
    <mergeCell ref="S187:S188"/>
    <mergeCell ref="T187:T188"/>
    <mergeCell ref="J190:J191"/>
    <mergeCell ref="P190:P191"/>
    <mergeCell ref="W190:W191"/>
    <mergeCell ref="X190:X191"/>
    <mergeCell ref="Y190:Y191"/>
    <mergeCell ref="Z190:Z191"/>
    <mergeCell ref="W192:W193"/>
    <mergeCell ref="X192:X193"/>
    <mergeCell ref="Y192:Y193"/>
    <mergeCell ref="Z192:Z193"/>
    <mergeCell ref="AC190:AC191"/>
    <mergeCell ref="AD190:AD191"/>
    <mergeCell ref="AE190:AE191"/>
    <mergeCell ref="AF190:AF191"/>
    <mergeCell ref="AC192:AC193"/>
    <mergeCell ref="AD192:AD193"/>
    <mergeCell ref="AE192:AE193"/>
    <mergeCell ref="AF192:AF193"/>
    <mergeCell ref="E190:E191"/>
    <mergeCell ref="F190:F191"/>
    <mergeCell ref="G190:G191"/>
    <mergeCell ref="H190:H191"/>
    <mergeCell ref="E192:E193"/>
    <mergeCell ref="F192:F193"/>
    <mergeCell ref="G192:G193"/>
    <mergeCell ref="H192:H193"/>
    <mergeCell ref="V190:V191"/>
    <mergeCell ref="AB190:AB191"/>
    <mergeCell ref="G200:G201"/>
    <mergeCell ref="H200:H201"/>
    <mergeCell ref="I200:I201"/>
    <mergeCell ref="E202:E203"/>
    <mergeCell ref="F202:F203"/>
    <mergeCell ref="G202:G203"/>
    <mergeCell ref="H202:H203"/>
    <mergeCell ref="I202:I203"/>
    <mergeCell ref="H204:H205"/>
    <mergeCell ref="I204:I205"/>
    <mergeCell ref="E206:E207"/>
    <mergeCell ref="F206:F207"/>
    <mergeCell ref="G206:G207"/>
    <mergeCell ref="H206:H207"/>
    <mergeCell ref="I206:I207"/>
    <mergeCell ref="E208:E209"/>
    <mergeCell ref="F208:F209"/>
    <mergeCell ref="G208:G209"/>
    <mergeCell ref="H208:H209"/>
    <mergeCell ref="I208:I209"/>
    <mergeCell ref="R208:R209"/>
    <mergeCell ref="S208:S209"/>
    <mergeCell ref="T208:T209"/>
    <mergeCell ref="Q210:Q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X208:X209"/>
    <mergeCell ref="Y208:Y209"/>
    <mergeCell ref="Z208:Z209"/>
    <mergeCell ref="W210:W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AD208:AD209"/>
    <mergeCell ref="AE208:AE209"/>
    <mergeCell ref="AF208:AF209"/>
    <mergeCell ref="AC210:AC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AD213:AD214"/>
    <mergeCell ref="AC217:AC218"/>
    <mergeCell ref="AD217:AD218"/>
    <mergeCell ref="S217:S218"/>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M217:M218"/>
    <mergeCell ref="N217:N218"/>
    <mergeCell ref="Q213:Q214"/>
    <mergeCell ref="R213:R214"/>
    <mergeCell ref="Q217:Q218"/>
    <mergeCell ref="R217:R218"/>
    <mergeCell ref="K213:K214"/>
    <mergeCell ref="L213:L214"/>
    <mergeCell ref="Y215:Y216"/>
    <mergeCell ref="Z215:Z216"/>
    <mergeCell ref="S213:S214"/>
    <mergeCell ref="T213:T214"/>
    <mergeCell ref="Q215:Q216"/>
    <mergeCell ref="R215:R216"/>
    <mergeCell ref="S215:S216"/>
    <mergeCell ref="T215:T216"/>
    <mergeCell ref="AC213:AC214"/>
    <mergeCell ref="G243:G244"/>
    <mergeCell ref="H243:H244"/>
    <mergeCell ref="E245:E246"/>
    <mergeCell ref="F245:F246"/>
    <mergeCell ref="G245:G246"/>
    <mergeCell ref="H245:H246"/>
    <mergeCell ref="L237:L238"/>
    <mergeCell ref="L239:L240"/>
    <mergeCell ref="L241:L242"/>
    <mergeCell ref="M241:M242"/>
    <mergeCell ref="N241:N242"/>
    <mergeCell ref="L243:L244"/>
    <mergeCell ref="M243:M244"/>
    <mergeCell ref="N243:N244"/>
    <mergeCell ref="L245:L246"/>
    <mergeCell ref="M245:M246"/>
    <mergeCell ref="N245:N246"/>
    <mergeCell ref="E247:E248"/>
    <mergeCell ref="F247:F248"/>
    <mergeCell ref="G247:G248"/>
    <mergeCell ref="H247:H248"/>
    <mergeCell ref="E249:E250"/>
    <mergeCell ref="F249:F250"/>
    <mergeCell ref="G249:G250"/>
    <mergeCell ref="H249:H250"/>
    <mergeCell ref="E251:E252"/>
    <mergeCell ref="F251:F252"/>
    <mergeCell ref="G251:G252"/>
    <mergeCell ref="H251:H252"/>
    <mergeCell ref="E253:E254"/>
    <mergeCell ref="F253:F254"/>
    <mergeCell ref="G253:G254"/>
    <mergeCell ref="H253:H254"/>
    <mergeCell ref="K237:K238"/>
    <mergeCell ref="K239:K240"/>
    <mergeCell ref="K241:K242"/>
    <mergeCell ref="K243:K244"/>
    <mergeCell ref="K245:K246"/>
    <mergeCell ref="K247:K248"/>
    <mergeCell ref="E237:E238"/>
    <mergeCell ref="F237:F238"/>
    <mergeCell ref="G237:G238"/>
    <mergeCell ref="H237:H238"/>
    <mergeCell ref="E241:E242"/>
    <mergeCell ref="F241:F242"/>
    <mergeCell ref="G241:G242"/>
    <mergeCell ref="H241:H242"/>
    <mergeCell ref="E243:E244"/>
    <mergeCell ref="F243:F244"/>
    <mergeCell ref="N249:N250"/>
    <mergeCell ref="K251:K252"/>
    <mergeCell ref="L251:L252"/>
    <mergeCell ref="M251:M252"/>
    <mergeCell ref="N251:N252"/>
    <mergeCell ref="K253:K254"/>
    <mergeCell ref="L253:L254"/>
    <mergeCell ref="M253:M254"/>
    <mergeCell ref="N253:N254"/>
    <mergeCell ref="T237:T238"/>
    <mergeCell ref="Q239:Q240"/>
    <mergeCell ref="R239:R240"/>
    <mergeCell ref="S239:S240"/>
    <mergeCell ref="T239:T240"/>
    <mergeCell ref="Q241:Q242"/>
    <mergeCell ref="R241:R242"/>
    <mergeCell ref="S241:S242"/>
    <mergeCell ref="T241:T242"/>
    <mergeCell ref="S237:S238"/>
    <mergeCell ref="Q243:Q244"/>
    <mergeCell ref="R243:R244"/>
    <mergeCell ref="S243:S244"/>
    <mergeCell ref="T243:T244"/>
    <mergeCell ref="Q245:Q246"/>
    <mergeCell ref="R245:R246"/>
    <mergeCell ref="S245:S246"/>
    <mergeCell ref="T245:T246"/>
    <mergeCell ref="Q247:Q248"/>
    <mergeCell ref="R247:R248"/>
    <mergeCell ref="M237:M238"/>
    <mergeCell ref="N237:N238"/>
    <mergeCell ref="Q237:Q238"/>
    <mergeCell ref="W237:W238"/>
    <mergeCell ref="X237:X238"/>
    <mergeCell ref="Y237:Y238"/>
    <mergeCell ref="W239:W240"/>
    <mergeCell ref="X239:X240"/>
    <mergeCell ref="Y239:Y240"/>
    <mergeCell ref="W241:W242"/>
    <mergeCell ref="X241:X242"/>
    <mergeCell ref="Y241:Y242"/>
    <mergeCell ref="W243:W244"/>
    <mergeCell ref="X243:X244"/>
    <mergeCell ref="Y243:Y244"/>
    <mergeCell ref="W245:W246"/>
    <mergeCell ref="X245:X246"/>
    <mergeCell ref="Y245:Y246"/>
    <mergeCell ref="L247:L248"/>
    <mergeCell ref="M247:M248"/>
    <mergeCell ref="N247:N248"/>
    <mergeCell ref="R237:R238"/>
    <mergeCell ref="W251:W252"/>
    <mergeCell ref="X251:X252"/>
    <mergeCell ref="Y251:Y252"/>
    <mergeCell ref="Z251:Z252"/>
    <mergeCell ref="W253:W254"/>
    <mergeCell ref="X253:X254"/>
    <mergeCell ref="Y253:Y254"/>
    <mergeCell ref="Z253:Z254"/>
    <mergeCell ref="S247:S248"/>
    <mergeCell ref="T247:T248"/>
    <mergeCell ref="Q249:Q250"/>
    <mergeCell ref="R249:R250"/>
    <mergeCell ref="S249:S250"/>
    <mergeCell ref="T249:T250"/>
    <mergeCell ref="Q251:Q252"/>
    <mergeCell ref="R251:R252"/>
    <mergeCell ref="S251:S252"/>
    <mergeCell ref="T251:T252"/>
    <mergeCell ref="Q253:Q254"/>
    <mergeCell ref="R253:R254"/>
    <mergeCell ref="S253:S254"/>
    <mergeCell ref="T253:T254"/>
    <mergeCell ref="AE243:AE244"/>
    <mergeCell ref="AF243:AF244"/>
    <mergeCell ref="AE245:AE246"/>
    <mergeCell ref="AF245:AF246"/>
    <mergeCell ref="AC247:AC248"/>
    <mergeCell ref="AD247:AD248"/>
    <mergeCell ref="AE247:AE248"/>
    <mergeCell ref="AF247:AF248"/>
    <mergeCell ref="Z245:Z246"/>
    <mergeCell ref="W247:W248"/>
    <mergeCell ref="X247:X248"/>
    <mergeCell ref="Y247:Y248"/>
    <mergeCell ref="Z247:Z248"/>
    <mergeCell ref="W249:W250"/>
    <mergeCell ref="X249:X250"/>
    <mergeCell ref="Y249:Y250"/>
    <mergeCell ref="Z249:Z250"/>
    <mergeCell ref="AC249:AC250"/>
    <mergeCell ref="AD249:AD250"/>
    <mergeCell ref="AE249:AE250"/>
    <mergeCell ref="AF249:AF250"/>
    <mergeCell ref="AC251:AC252"/>
    <mergeCell ref="AD251:AD252"/>
    <mergeCell ref="AE251:AE252"/>
    <mergeCell ref="AF251:AF252"/>
    <mergeCell ref="AC253:AC254"/>
    <mergeCell ref="AD253:AD254"/>
    <mergeCell ref="AE253:AE254"/>
    <mergeCell ref="AF253:AF254"/>
    <mergeCell ref="P125:P126"/>
    <mergeCell ref="V125:V126"/>
    <mergeCell ref="AB125:AB126"/>
    <mergeCell ref="U139:U140"/>
    <mergeCell ref="U141:U142"/>
    <mergeCell ref="AA133:AA134"/>
    <mergeCell ref="AA139:AA140"/>
    <mergeCell ref="AA141:AA142"/>
    <mergeCell ref="AC245:AC246"/>
    <mergeCell ref="AD245:AD246"/>
    <mergeCell ref="AE237:AE238"/>
    <mergeCell ref="AF237:AF238"/>
    <mergeCell ref="AC239:AC240"/>
    <mergeCell ref="AD239:AD240"/>
    <mergeCell ref="AE239:AE240"/>
    <mergeCell ref="AF239:AF240"/>
    <mergeCell ref="AE241:AE242"/>
    <mergeCell ref="AF241:AF242"/>
    <mergeCell ref="AC243:AC244"/>
    <mergeCell ref="AD243:AD244"/>
    <mergeCell ref="AH125:AH126"/>
    <mergeCell ref="I125:I126"/>
    <mergeCell ref="I127:I128"/>
    <mergeCell ref="I129:I130"/>
    <mergeCell ref="I131:I132"/>
    <mergeCell ref="I133:I134"/>
    <mergeCell ref="AA125:AA126"/>
    <mergeCell ref="AA127:AA128"/>
    <mergeCell ref="AA129:AA130"/>
    <mergeCell ref="AA131:AA132"/>
    <mergeCell ref="I135:I136"/>
    <mergeCell ref="I137:I138"/>
    <mergeCell ref="I139:I140"/>
    <mergeCell ref="I141:I142"/>
    <mergeCell ref="O125:O126"/>
    <mergeCell ref="O127:O128"/>
    <mergeCell ref="O129:O130"/>
    <mergeCell ref="O131:O132"/>
    <mergeCell ref="O133:O134"/>
    <mergeCell ref="O135:O136"/>
    <mergeCell ref="O137:O138"/>
    <mergeCell ref="O139:O140"/>
    <mergeCell ref="O141:O142"/>
    <mergeCell ref="U125:U126"/>
    <mergeCell ref="U127:U128"/>
    <mergeCell ref="U129:U130"/>
    <mergeCell ref="U131:U132"/>
    <mergeCell ref="U133:U134"/>
    <mergeCell ref="U135:U136"/>
    <mergeCell ref="U137:U138"/>
    <mergeCell ref="AA135:AA136"/>
    <mergeCell ref="AA137:AA138"/>
    <mergeCell ref="AG125:AG126"/>
    <mergeCell ref="AG127:AG128"/>
    <mergeCell ref="AG129:AG130"/>
    <mergeCell ref="AG131:AG132"/>
    <mergeCell ref="AG133:AG134"/>
    <mergeCell ref="AG135:AG136"/>
    <mergeCell ref="H215:H216"/>
    <mergeCell ref="AG137:AG138"/>
    <mergeCell ref="AG139:AG140"/>
    <mergeCell ref="AG141:AG142"/>
    <mergeCell ref="I146:I147"/>
    <mergeCell ref="I148:I149"/>
    <mergeCell ref="I150:I151"/>
    <mergeCell ref="O146:O147"/>
    <mergeCell ref="O148:O149"/>
    <mergeCell ref="O150:O151"/>
    <mergeCell ref="AG146:AG147"/>
    <mergeCell ref="AG148:AG149"/>
    <mergeCell ref="AG150:AG151"/>
    <mergeCell ref="W213:W214"/>
    <mergeCell ref="X213:X214"/>
    <mergeCell ref="Y213:Y214"/>
    <mergeCell ref="Z213:Z214"/>
    <mergeCell ref="AC215:AC216"/>
    <mergeCell ref="AD215:AD216"/>
    <mergeCell ref="AE215:AE216"/>
    <mergeCell ref="AF215:AF216"/>
    <mergeCell ref="W215:W216"/>
    <mergeCell ref="X215:X216"/>
    <mergeCell ref="AD210:AD211"/>
    <mergeCell ref="AE210:AE211"/>
    <mergeCell ref="AF210:AF211"/>
    <mergeCell ref="E213:E214"/>
    <mergeCell ref="F213:F214"/>
    <mergeCell ref="G213:G214"/>
    <mergeCell ref="H213:H214"/>
    <mergeCell ref="U146:U147"/>
    <mergeCell ref="AE213:AE214"/>
    <mergeCell ref="AF213:AF214"/>
    <mergeCell ref="E217:E218"/>
    <mergeCell ref="F217:F218"/>
    <mergeCell ref="G217:G218"/>
    <mergeCell ref="H217:H218"/>
    <mergeCell ref="AA146:AA147"/>
    <mergeCell ref="AA148:AA149"/>
    <mergeCell ref="AA150:AA151"/>
    <mergeCell ref="E215:E216"/>
    <mergeCell ref="F215:F216"/>
    <mergeCell ref="G215:G216"/>
    <mergeCell ref="T217:T218"/>
    <mergeCell ref="W217:W218"/>
    <mergeCell ref="X217:X218"/>
    <mergeCell ref="Y217:Y218"/>
    <mergeCell ref="Z217:Z218"/>
    <mergeCell ref="AE217:AE218"/>
    <mergeCell ref="AF217:AF218"/>
    <mergeCell ref="M213:M214"/>
    <mergeCell ref="N213:N214"/>
    <mergeCell ref="K215:K216"/>
    <mergeCell ref="L215:L216"/>
    <mergeCell ref="M215:M216"/>
    <mergeCell ref="N215:N216"/>
    <mergeCell ref="K217:K218"/>
    <mergeCell ref="L217:L218"/>
  </mergeCells>
  <pageMargins left="0.54" right="0.17" top="0.41" bottom="0.27" header="0.3" footer="0.2"/>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2603-9020-4710-9DCB-E416968AC68A}">
  <sheetPr>
    <pageSetUpPr fitToPage="1"/>
  </sheetPr>
  <dimension ref="A1:AH256"/>
  <sheetViews>
    <sheetView zoomScaleNormal="100" workbookViewId="0">
      <pane ySplit="12" topLeftCell="A232" activePane="bottomLeft" state="frozen"/>
      <selection activeCell="B67" sqref="B67:C68"/>
      <selection pane="bottomLeft" activeCell="E237" sqref="E237:AH254"/>
    </sheetView>
  </sheetViews>
  <sheetFormatPr defaultColWidth="9.109375" defaultRowHeight="10.199999999999999" x14ac:dyDescent="0.2"/>
  <cols>
    <col min="1" max="1" width="5.109375" style="11" customWidth="1"/>
    <col min="2" max="2" width="35.77734375" style="31" customWidth="1"/>
    <col min="3" max="3" width="6.44140625" style="11" customWidth="1"/>
    <col min="4" max="4" width="5.88671875" style="11" customWidth="1"/>
    <col min="5" max="34" width="4.77734375" style="11" customWidth="1"/>
    <col min="35" max="16384" width="9.109375" style="11"/>
  </cols>
  <sheetData>
    <row r="1" spans="1:34" x14ac:dyDescent="0.2">
      <c r="A1" s="9"/>
      <c r="B1" s="10"/>
      <c r="C1" s="9"/>
      <c r="D1" s="9"/>
    </row>
    <row r="2" spans="1:34" ht="24.75" customHeight="1" x14ac:dyDescent="0.2">
      <c r="A2" s="297" t="s">
        <v>51</v>
      </c>
      <c r="B2" s="297"/>
      <c r="C2" s="297"/>
      <c r="D2" s="326"/>
      <c r="E2" s="326"/>
      <c r="F2" s="326"/>
      <c r="G2" s="326"/>
      <c r="H2" s="326"/>
      <c r="I2" s="326"/>
      <c r="J2" s="326"/>
      <c r="K2" s="326"/>
      <c r="L2" s="326"/>
      <c r="M2" s="326"/>
      <c r="N2" s="326"/>
      <c r="O2" s="326"/>
    </row>
    <row r="3" spans="1:34" ht="18.75" customHeight="1" x14ac:dyDescent="0.2">
      <c r="A3" s="297" t="s">
        <v>50</v>
      </c>
      <c r="B3" s="297"/>
      <c r="C3" s="297"/>
      <c r="D3" s="326"/>
      <c r="E3" s="326"/>
      <c r="F3" s="326"/>
      <c r="G3" s="326"/>
      <c r="H3" s="326"/>
      <c r="I3" s="326"/>
      <c r="J3" s="326"/>
      <c r="K3" s="326"/>
      <c r="L3" s="326"/>
      <c r="M3" s="326"/>
      <c r="N3" s="326"/>
      <c r="O3" s="326"/>
    </row>
    <row r="4" spans="1:34" ht="16.5" customHeight="1" x14ac:dyDescent="0.2">
      <c r="A4" s="297" t="s">
        <v>61</v>
      </c>
      <c r="B4" s="297"/>
      <c r="C4" s="297"/>
      <c r="D4" s="12"/>
    </row>
    <row r="5" spans="1:34" ht="13.5" customHeight="1" x14ac:dyDescent="0.2">
      <c r="A5" s="271" t="s">
        <v>148</v>
      </c>
      <c r="B5" s="269"/>
      <c r="C5" s="14"/>
      <c r="D5" s="14"/>
      <c r="Q5" s="11" t="s">
        <v>74</v>
      </c>
      <c r="R5" s="15"/>
      <c r="W5" s="11" t="s">
        <v>74</v>
      </c>
      <c r="Y5" s="278"/>
      <c r="AC5" s="11" t="s">
        <v>74</v>
      </c>
    </row>
    <row r="6" spans="1:34" ht="19.5" customHeight="1" x14ac:dyDescent="0.2">
      <c r="A6" s="271" t="s">
        <v>154</v>
      </c>
      <c r="B6" s="269"/>
      <c r="C6" s="9"/>
      <c r="D6" s="9"/>
      <c r="I6" s="16"/>
      <c r="J6" s="16"/>
      <c r="O6" s="16"/>
      <c r="U6" s="16"/>
      <c r="V6" s="16"/>
      <c r="Y6" s="278"/>
      <c r="AA6" s="16"/>
      <c r="AB6" s="16"/>
      <c r="AG6" s="16"/>
      <c r="AH6" s="16"/>
    </row>
    <row r="7" spans="1:34" ht="16.5" customHeight="1" x14ac:dyDescent="0.2">
      <c r="A7" s="268"/>
      <c r="B7" s="268"/>
      <c r="C7" s="268"/>
    </row>
    <row r="8" spans="1:34" ht="18" customHeight="1" x14ac:dyDescent="0.2">
      <c r="A8" s="268" t="s">
        <v>164</v>
      </c>
      <c r="B8" s="268"/>
      <c r="C8" s="268"/>
      <c r="D8" s="326"/>
      <c r="E8" s="326"/>
      <c r="F8" s="326"/>
      <c r="G8" s="326"/>
      <c r="H8" s="326"/>
      <c r="I8" s="326"/>
      <c r="J8" s="326"/>
      <c r="K8" s="326"/>
      <c r="L8" s="326"/>
      <c r="M8" s="326"/>
      <c r="N8" s="326"/>
      <c r="O8" s="326"/>
      <c r="P8" s="326"/>
    </row>
    <row r="9" spans="1:34" ht="18" customHeight="1" x14ac:dyDescent="0.2">
      <c r="A9" s="9"/>
      <c r="B9" s="10"/>
      <c r="C9" s="9"/>
      <c r="D9" s="9"/>
    </row>
    <row r="10" spans="1:34"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9"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306"/>
      <c r="E39" s="306"/>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row>
    <row r="59" spans="1:34" x14ac:dyDescent="0.2">
      <c r="A59" s="283"/>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65"/>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65"/>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65"/>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65"/>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65"/>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65"/>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65"/>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65"/>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65"/>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65"/>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65"/>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c r="AG73" s="306"/>
      <c r="AH73" s="306"/>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305" t="s">
        <v>19</v>
      </c>
      <c r="C80" s="305"/>
      <c r="D80" s="304"/>
      <c r="E80" s="304"/>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row>
    <row r="81" spans="1:34" x14ac:dyDescent="0.2">
      <c r="A81" s="30" t="s">
        <v>41</v>
      </c>
      <c r="B81" s="305" t="s">
        <v>20</v>
      </c>
      <c r="C81" s="305"/>
      <c r="D81" s="306"/>
      <c r="E81" s="306"/>
      <c r="F81" s="306"/>
      <c r="G81" s="306"/>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c r="AG81" s="306"/>
      <c r="AH81" s="306"/>
    </row>
    <row r="82" spans="1:34" ht="44.4" customHeight="1" x14ac:dyDescent="0.2">
      <c r="A82" s="289"/>
      <c r="B82" s="33" t="s">
        <v>95</v>
      </c>
      <c r="C82" s="34"/>
      <c r="D82" s="24" t="s">
        <v>135</v>
      </c>
      <c r="E82" s="35">
        <v>1</v>
      </c>
      <c r="F82" s="35">
        <v>1</v>
      </c>
      <c r="G82" s="35">
        <v>1</v>
      </c>
      <c r="H82" s="35">
        <v>1</v>
      </c>
      <c r="I82" s="35"/>
      <c r="J82" s="35">
        <v>4</v>
      </c>
      <c r="K82" s="35">
        <v>1</v>
      </c>
      <c r="L82" s="35">
        <v>1</v>
      </c>
      <c r="M82" s="35">
        <v>1</v>
      </c>
      <c r="N82" s="35">
        <v>1</v>
      </c>
      <c r="O82" s="35"/>
      <c r="P82" s="35">
        <v>4</v>
      </c>
      <c r="Q82" s="35">
        <v>1</v>
      </c>
      <c r="R82" s="35">
        <v>1</v>
      </c>
      <c r="S82" s="35">
        <v>1</v>
      </c>
      <c r="T82" s="35">
        <v>1</v>
      </c>
      <c r="U82" s="35"/>
      <c r="V82" s="35">
        <v>4</v>
      </c>
      <c r="W82" s="35">
        <v>1</v>
      </c>
      <c r="X82" s="35">
        <v>1</v>
      </c>
      <c r="Y82" s="35">
        <v>1</v>
      </c>
      <c r="Z82" s="35">
        <v>1</v>
      </c>
      <c r="AA82" s="35"/>
      <c r="AB82" s="35">
        <v>4</v>
      </c>
      <c r="AC82" s="35">
        <v>1</v>
      </c>
      <c r="AD82" s="35">
        <v>1</v>
      </c>
      <c r="AE82" s="35">
        <v>1</v>
      </c>
      <c r="AF82" s="35">
        <v>1</v>
      </c>
      <c r="AG82" s="35"/>
      <c r="AH82" s="35">
        <v>4</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13</v>
      </c>
      <c r="F95" s="162">
        <v>13</v>
      </c>
      <c r="G95" s="162">
        <v>13</v>
      </c>
      <c r="H95" s="162">
        <v>13</v>
      </c>
      <c r="I95" s="35"/>
      <c r="J95" s="35">
        <v>52</v>
      </c>
      <c r="K95" s="35">
        <v>13</v>
      </c>
      <c r="L95" s="35">
        <v>13</v>
      </c>
      <c r="M95" s="35">
        <v>13</v>
      </c>
      <c r="N95" s="35">
        <v>13</v>
      </c>
      <c r="O95" s="35"/>
      <c r="P95" s="35">
        <v>52</v>
      </c>
      <c r="Q95" s="162">
        <v>13</v>
      </c>
      <c r="R95" s="162">
        <v>13</v>
      </c>
      <c r="S95" s="162">
        <v>13</v>
      </c>
      <c r="T95" s="162">
        <v>13</v>
      </c>
      <c r="U95" s="35"/>
      <c r="V95" s="35">
        <v>52</v>
      </c>
      <c r="W95" s="162">
        <v>13</v>
      </c>
      <c r="X95" s="162">
        <v>13</v>
      </c>
      <c r="Y95" s="162">
        <v>13</v>
      </c>
      <c r="Z95" s="162">
        <v>13</v>
      </c>
      <c r="AA95" s="162"/>
      <c r="AB95" s="35">
        <v>52</v>
      </c>
      <c r="AC95" s="162">
        <v>13</v>
      </c>
      <c r="AD95" s="162">
        <v>13</v>
      </c>
      <c r="AE95" s="162">
        <v>13</v>
      </c>
      <c r="AF95" s="162">
        <v>13</v>
      </c>
      <c r="AG95" s="35"/>
      <c r="AH95" s="35">
        <v>52</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c r="AG108" s="306"/>
      <c r="AH108" s="306"/>
    </row>
    <row r="109" spans="1:34" x14ac:dyDescent="0.2">
      <c r="A109" s="273"/>
      <c r="B109" s="298" t="s">
        <v>23</v>
      </c>
      <c r="C109" s="298"/>
      <c r="D109" s="24" t="s">
        <v>135</v>
      </c>
      <c r="E109" s="23">
        <v>2</v>
      </c>
      <c r="F109" s="23">
        <v>2</v>
      </c>
      <c r="G109" s="23">
        <v>2</v>
      </c>
      <c r="H109" s="23">
        <v>4</v>
      </c>
      <c r="I109" s="26"/>
      <c r="J109" s="41">
        <v>10</v>
      </c>
      <c r="K109" s="23">
        <v>2</v>
      </c>
      <c r="L109" s="23">
        <v>2</v>
      </c>
      <c r="M109" s="23">
        <v>2</v>
      </c>
      <c r="N109" s="23">
        <v>4</v>
      </c>
      <c r="O109" s="26"/>
      <c r="P109" s="41">
        <v>10</v>
      </c>
      <c r="Q109" s="23">
        <v>5</v>
      </c>
      <c r="R109" s="23">
        <v>5</v>
      </c>
      <c r="S109" s="23">
        <v>5</v>
      </c>
      <c r="T109" s="23">
        <v>5</v>
      </c>
      <c r="U109" s="26"/>
      <c r="V109" s="41">
        <v>20</v>
      </c>
      <c r="W109" s="23">
        <v>5</v>
      </c>
      <c r="X109" s="23">
        <v>5</v>
      </c>
      <c r="Y109" s="23">
        <v>5</v>
      </c>
      <c r="Z109" s="23">
        <v>5</v>
      </c>
      <c r="AA109" s="26"/>
      <c r="AB109" s="41">
        <v>20</v>
      </c>
      <c r="AC109" s="23">
        <v>5</v>
      </c>
      <c r="AD109" s="23">
        <v>5</v>
      </c>
      <c r="AE109" s="23">
        <v>5</v>
      </c>
      <c r="AF109" s="23">
        <v>5</v>
      </c>
      <c r="AG109" s="26"/>
      <c r="AH109" s="41">
        <v>20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64" t="s">
        <v>25</v>
      </c>
      <c r="C124" s="264"/>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c r="AG124" s="306"/>
      <c r="AH124" s="306"/>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256"/>
      <c r="J128" s="254"/>
      <c r="K128" s="254"/>
      <c r="L128" s="254"/>
      <c r="M128" s="254"/>
      <c r="N128" s="254"/>
      <c r="O128" s="256"/>
      <c r="P128" s="254"/>
      <c r="Q128" s="254"/>
      <c r="R128" s="254"/>
      <c r="S128" s="254"/>
      <c r="T128" s="254"/>
      <c r="U128" s="256"/>
      <c r="V128" s="254"/>
      <c r="W128" s="254"/>
      <c r="X128" s="254"/>
      <c r="Y128" s="254"/>
      <c r="Z128" s="254"/>
      <c r="AA128" s="256"/>
      <c r="AB128" s="254"/>
      <c r="AC128" s="254"/>
      <c r="AD128" s="254"/>
      <c r="AE128" s="254"/>
      <c r="AF128" s="254"/>
      <c r="AG128" s="256"/>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256"/>
      <c r="J130" s="254"/>
      <c r="K130" s="254"/>
      <c r="L130" s="254"/>
      <c r="M130" s="254"/>
      <c r="N130" s="254"/>
      <c r="O130" s="256"/>
      <c r="P130" s="254"/>
      <c r="Q130" s="254"/>
      <c r="R130" s="254"/>
      <c r="S130" s="254"/>
      <c r="T130" s="254"/>
      <c r="U130" s="256"/>
      <c r="V130" s="254"/>
      <c r="W130" s="254"/>
      <c r="X130" s="254"/>
      <c r="Y130" s="254"/>
      <c r="Z130" s="254"/>
      <c r="AA130" s="256"/>
      <c r="AB130" s="254"/>
      <c r="AC130" s="254"/>
      <c r="AD130" s="254"/>
      <c r="AE130" s="254"/>
      <c r="AF130" s="254"/>
      <c r="AG130" s="256"/>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256"/>
      <c r="J132" s="254"/>
      <c r="K132" s="254"/>
      <c r="L132" s="254"/>
      <c r="M132" s="254"/>
      <c r="N132" s="254"/>
      <c r="O132" s="256"/>
      <c r="P132" s="254"/>
      <c r="Q132" s="254"/>
      <c r="R132" s="254"/>
      <c r="S132" s="254"/>
      <c r="T132" s="254"/>
      <c r="U132" s="256"/>
      <c r="V132" s="254"/>
      <c r="W132" s="254"/>
      <c r="X132" s="254"/>
      <c r="Y132" s="254"/>
      <c r="Z132" s="254"/>
      <c r="AA132" s="256"/>
      <c r="AB132" s="254"/>
      <c r="AC132" s="254"/>
      <c r="AD132" s="254"/>
      <c r="AE132" s="254"/>
      <c r="AF132" s="254"/>
      <c r="AG132" s="256"/>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256"/>
      <c r="J134" s="252"/>
      <c r="K134" s="252"/>
      <c r="L134" s="252"/>
      <c r="M134" s="252"/>
      <c r="N134" s="252"/>
      <c r="O134" s="256"/>
      <c r="P134" s="252"/>
      <c r="Q134" s="252"/>
      <c r="R134" s="252"/>
      <c r="S134" s="252"/>
      <c r="T134" s="252"/>
      <c r="U134" s="256"/>
      <c r="V134" s="252"/>
      <c r="W134" s="252"/>
      <c r="X134" s="252"/>
      <c r="Y134" s="252"/>
      <c r="Z134" s="252"/>
      <c r="AA134" s="256"/>
      <c r="AB134" s="252"/>
      <c r="AC134" s="252"/>
      <c r="AD134" s="252"/>
      <c r="AE134" s="252"/>
      <c r="AF134" s="252"/>
      <c r="AG134" s="256"/>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256"/>
      <c r="J136" s="254"/>
      <c r="K136" s="254"/>
      <c r="L136" s="254"/>
      <c r="M136" s="254"/>
      <c r="N136" s="254"/>
      <c r="O136" s="256"/>
      <c r="P136" s="254"/>
      <c r="Q136" s="254"/>
      <c r="R136" s="254"/>
      <c r="S136" s="254"/>
      <c r="T136" s="254"/>
      <c r="U136" s="256"/>
      <c r="V136" s="254"/>
      <c r="W136" s="254"/>
      <c r="X136" s="254"/>
      <c r="Y136" s="254"/>
      <c r="Z136" s="254"/>
      <c r="AA136" s="256"/>
      <c r="AB136" s="254"/>
      <c r="AC136" s="254"/>
      <c r="AD136" s="254"/>
      <c r="AE136" s="254"/>
      <c r="AF136" s="254"/>
      <c r="AG136" s="256"/>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256"/>
      <c r="J138" s="254"/>
      <c r="K138" s="254"/>
      <c r="L138" s="254"/>
      <c r="M138" s="254"/>
      <c r="N138" s="254"/>
      <c r="O138" s="256"/>
      <c r="P138" s="254"/>
      <c r="Q138" s="254"/>
      <c r="R138" s="254"/>
      <c r="S138" s="254"/>
      <c r="T138" s="254"/>
      <c r="U138" s="256"/>
      <c r="V138" s="254"/>
      <c r="W138" s="254"/>
      <c r="X138" s="254"/>
      <c r="Y138" s="254"/>
      <c r="Z138" s="254"/>
      <c r="AA138" s="256"/>
      <c r="AB138" s="254"/>
      <c r="AC138" s="254"/>
      <c r="AD138" s="254"/>
      <c r="AE138" s="254"/>
      <c r="AF138" s="254"/>
      <c r="AG138" s="256"/>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256"/>
      <c r="J140" s="252"/>
      <c r="K140" s="252"/>
      <c r="L140" s="252"/>
      <c r="M140" s="252"/>
      <c r="N140" s="252"/>
      <c r="O140" s="256"/>
      <c r="P140" s="252"/>
      <c r="Q140" s="252"/>
      <c r="R140" s="252"/>
      <c r="S140" s="252"/>
      <c r="T140" s="252"/>
      <c r="U140" s="256"/>
      <c r="V140" s="252"/>
      <c r="W140" s="252"/>
      <c r="X140" s="252"/>
      <c r="Y140" s="252"/>
      <c r="Z140" s="252"/>
      <c r="AA140" s="256"/>
      <c r="AB140" s="252"/>
      <c r="AC140" s="252"/>
      <c r="AD140" s="252"/>
      <c r="AE140" s="252"/>
      <c r="AF140" s="252"/>
      <c r="AG140" s="256"/>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91"/>
      <c r="D142" s="251"/>
      <c r="E142" s="254"/>
      <c r="F142" s="254"/>
      <c r="G142" s="254"/>
      <c r="H142" s="254"/>
      <c r="I142" s="256"/>
      <c r="J142" s="254"/>
      <c r="K142" s="254"/>
      <c r="L142" s="254"/>
      <c r="M142" s="254"/>
      <c r="N142" s="254"/>
      <c r="O142" s="256"/>
      <c r="P142" s="254"/>
      <c r="Q142" s="254"/>
      <c r="R142" s="254"/>
      <c r="S142" s="254"/>
      <c r="T142" s="254"/>
      <c r="U142" s="256"/>
      <c r="V142" s="254"/>
      <c r="W142" s="254"/>
      <c r="X142" s="254"/>
      <c r="Y142" s="254"/>
      <c r="Z142" s="254"/>
      <c r="AA142" s="256"/>
      <c r="AB142" s="254"/>
      <c r="AC142" s="254"/>
      <c r="AD142" s="254"/>
      <c r="AE142" s="254"/>
      <c r="AF142" s="254"/>
      <c r="AG142" s="256"/>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256"/>
      <c r="J147" s="252"/>
      <c r="K147" s="252"/>
      <c r="L147" s="252"/>
      <c r="M147" s="252"/>
      <c r="N147" s="252"/>
      <c r="O147" s="256"/>
      <c r="P147" s="252"/>
      <c r="Q147" s="252"/>
      <c r="R147" s="252"/>
      <c r="S147" s="252"/>
      <c r="T147" s="252"/>
      <c r="U147" s="256"/>
      <c r="V147" s="252"/>
      <c r="W147" s="252"/>
      <c r="X147" s="252"/>
      <c r="Y147" s="252"/>
      <c r="Z147" s="252"/>
      <c r="AA147" s="256"/>
      <c r="AB147" s="252"/>
      <c r="AC147" s="252"/>
      <c r="AD147" s="252"/>
      <c r="AE147" s="252"/>
      <c r="AF147" s="252"/>
      <c r="AG147" s="256"/>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256"/>
      <c r="J149" s="252"/>
      <c r="K149" s="252"/>
      <c r="L149" s="252"/>
      <c r="M149" s="252"/>
      <c r="N149" s="252"/>
      <c r="O149" s="256"/>
      <c r="P149" s="252"/>
      <c r="Q149" s="252"/>
      <c r="R149" s="252"/>
      <c r="S149" s="252"/>
      <c r="T149" s="252"/>
      <c r="U149" s="256"/>
      <c r="V149" s="252"/>
      <c r="W149" s="252"/>
      <c r="X149" s="252"/>
      <c r="Y149" s="252"/>
      <c r="Z149" s="252"/>
      <c r="AA149" s="256"/>
      <c r="AB149" s="252"/>
      <c r="AC149" s="252"/>
      <c r="AD149" s="252"/>
      <c r="AE149" s="252"/>
      <c r="AF149" s="252"/>
      <c r="AG149" s="256"/>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73"/>
      <c r="D151" s="251"/>
      <c r="E151" s="252"/>
      <c r="F151" s="252"/>
      <c r="G151" s="252"/>
      <c r="H151" s="252"/>
      <c r="I151" s="256"/>
      <c r="J151" s="252"/>
      <c r="K151" s="252"/>
      <c r="L151" s="252"/>
      <c r="M151" s="252"/>
      <c r="N151" s="252"/>
      <c r="O151" s="256"/>
      <c r="P151" s="252"/>
      <c r="Q151" s="252"/>
      <c r="R151" s="252"/>
      <c r="S151" s="252"/>
      <c r="T151" s="252"/>
      <c r="U151" s="256"/>
      <c r="V151" s="252"/>
      <c r="W151" s="252"/>
      <c r="X151" s="252"/>
      <c r="Y151" s="252"/>
      <c r="Z151" s="252"/>
      <c r="AA151" s="256"/>
      <c r="AB151" s="252"/>
      <c r="AC151" s="252"/>
      <c r="AD151" s="252"/>
      <c r="AE151" s="252"/>
      <c r="AF151" s="252"/>
      <c r="AG151" s="256"/>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8" customHeight="1" x14ac:dyDescent="0.2">
      <c r="A183" s="273"/>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F189" s="306"/>
      <c r="AG189" s="306"/>
      <c r="AH189" s="306"/>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x14ac:dyDescent="0.2">
      <c r="A195" s="43">
        <v>2.1</v>
      </c>
      <c r="B195" s="264" t="s">
        <v>30</v>
      </c>
      <c r="C195" s="264"/>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24" customHeight="1" x14ac:dyDescent="0.2">
      <c r="A196" s="289"/>
      <c r="B196" s="288" t="s">
        <v>142</v>
      </c>
      <c r="C196" s="288"/>
      <c r="D196" s="273" t="s">
        <v>78</v>
      </c>
      <c r="E196" s="254">
        <v>0.4632</v>
      </c>
      <c r="F196" s="254">
        <v>0.4632</v>
      </c>
      <c r="G196" s="254">
        <v>0.4632</v>
      </c>
      <c r="H196" s="254">
        <v>0.4632</v>
      </c>
      <c r="I196" s="45"/>
      <c r="J196" s="254">
        <v>0.4632</v>
      </c>
      <c r="K196" s="254">
        <v>0.44319999999999998</v>
      </c>
      <c r="L196" s="254">
        <v>0.44319999999999998</v>
      </c>
      <c r="M196" s="254">
        <v>0.44319999999999998</v>
      </c>
      <c r="N196" s="254">
        <v>0.44319999999999998</v>
      </c>
      <c r="O196" s="45"/>
      <c r="P196" s="254">
        <v>0.44319999999999998</v>
      </c>
      <c r="Q196" s="254">
        <v>0.42320000000000002</v>
      </c>
      <c r="R196" s="254">
        <v>0.42320000000000002</v>
      </c>
      <c r="S196" s="254">
        <v>0.42320000000000002</v>
      </c>
      <c r="T196" s="254">
        <v>0.42320000000000002</v>
      </c>
      <c r="U196" s="45"/>
      <c r="V196" s="254">
        <v>0.42320000000000002</v>
      </c>
      <c r="W196" s="254">
        <v>0.4032</v>
      </c>
      <c r="X196" s="254">
        <v>0.4032</v>
      </c>
      <c r="Y196" s="254">
        <v>0.4032</v>
      </c>
      <c r="Z196" s="254">
        <v>0.4032</v>
      </c>
      <c r="AA196" s="45"/>
      <c r="AB196" s="254">
        <v>0.4032</v>
      </c>
      <c r="AC196" s="254">
        <v>0.29220000000000002</v>
      </c>
      <c r="AD196" s="254">
        <v>0.29220000000000002</v>
      </c>
      <c r="AE196" s="254">
        <v>0.29220000000000002</v>
      </c>
      <c r="AF196" s="254">
        <v>0.29220000000000002</v>
      </c>
      <c r="AG196" s="29"/>
      <c r="AH196" s="254">
        <v>0.29220000000000002</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8.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24.01/(24.01+1.672)</f>
        <v>0.93489603613425742</v>
      </c>
      <c r="X198" s="252">
        <f>24.01/(24.01+1.672)</f>
        <v>0.93489603613425742</v>
      </c>
      <c r="Y198" s="252">
        <f>24.01/(24.01+1.672)</f>
        <v>0.93489603613425742</v>
      </c>
      <c r="Z198" s="252">
        <f>24.01/(24.01+1.672)</f>
        <v>0.93489603613425742</v>
      </c>
      <c r="AA198" s="19"/>
      <c r="AB198" s="252">
        <f>24.01/(24.01+1.672)</f>
        <v>0.93489603613425742</v>
      </c>
      <c r="AC198" s="252">
        <v>1</v>
      </c>
      <c r="AD198" s="252">
        <v>1</v>
      </c>
      <c r="AE198" s="252">
        <v>1</v>
      </c>
      <c r="AF198" s="252">
        <v>1</v>
      </c>
      <c r="AG198" s="19"/>
      <c r="AH198" s="252">
        <v>1</v>
      </c>
    </row>
    <row r="199" spans="1:34" ht="42.6"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3.6</v>
      </c>
      <c r="F200" s="250">
        <v>3.6</v>
      </c>
      <c r="G200" s="250">
        <v>3.6</v>
      </c>
      <c r="H200" s="250">
        <v>3.6</v>
      </c>
      <c r="I200" s="26"/>
      <c r="J200" s="250">
        <v>3.6</v>
      </c>
      <c r="K200" s="250">
        <v>3.6</v>
      </c>
      <c r="L200" s="250">
        <v>3.6</v>
      </c>
      <c r="M200" s="250">
        <v>3.6</v>
      </c>
      <c r="N200" s="250">
        <v>3.6</v>
      </c>
      <c r="O200" s="26"/>
      <c r="P200" s="250">
        <v>3.6</v>
      </c>
      <c r="Q200" s="250">
        <v>3.6</v>
      </c>
      <c r="R200" s="250">
        <v>3.6</v>
      </c>
      <c r="S200" s="250">
        <v>3.6</v>
      </c>
      <c r="T200" s="250">
        <v>3.6</v>
      </c>
      <c r="U200" s="26"/>
      <c r="V200" s="250">
        <v>3.6</v>
      </c>
      <c r="W200" s="250">
        <v>3.6</v>
      </c>
      <c r="X200" s="250">
        <v>3.6</v>
      </c>
      <c r="Y200" s="250">
        <v>3.6</v>
      </c>
      <c r="Z200" s="250">
        <v>3.6</v>
      </c>
      <c r="AA200" s="26"/>
      <c r="AB200" s="250">
        <v>3.6</v>
      </c>
      <c r="AC200" s="250">
        <v>3.6</v>
      </c>
      <c r="AD200" s="250">
        <v>3.6</v>
      </c>
      <c r="AE200" s="250">
        <v>3.6</v>
      </c>
      <c r="AF200" s="250">
        <v>3.6</v>
      </c>
      <c r="AG200" s="26"/>
      <c r="AH200" s="250">
        <v>3.6</v>
      </c>
    </row>
    <row r="201" spans="1:34" ht="31.8"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21.35/115</f>
        <v>0.18565217391304348</v>
      </c>
      <c r="F208" s="249">
        <f>21.35/115</f>
        <v>0.18565217391304348</v>
      </c>
      <c r="G208" s="249">
        <f>21.35/115</f>
        <v>0.18565217391304348</v>
      </c>
      <c r="H208" s="249">
        <f>21.35/115</f>
        <v>0.18565217391304348</v>
      </c>
      <c r="I208" s="19"/>
      <c r="J208" s="249">
        <f>21.35/115</f>
        <v>0.18565217391304348</v>
      </c>
      <c r="K208" s="249">
        <f>21.35/115</f>
        <v>0.18565217391304348</v>
      </c>
      <c r="L208" s="249">
        <f>21.35/115</f>
        <v>0.18565217391304348</v>
      </c>
      <c r="M208" s="249">
        <f>21.35/115</f>
        <v>0.18565217391304348</v>
      </c>
      <c r="N208" s="249">
        <f>21.35/115</f>
        <v>0.18565217391304348</v>
      </c>
      <c r="O208" s="19"/>
      <c r="P208" s="249">
        <f>21.35/115</f>
        <v>0.18565217391304348</v>
      </c>
      <c r="Q208" s="249">
        <f>21.35/115</f>
        <v>0.18565217391304348</v>
      </c>
      <c r="R208" s="249">
        <f>21.35/115</f>
        <v>0.18565217391304348</v>
      </c>
      <c r="S208" s="249">
        <f>21.35/115</f>
        <v>0.18565217391304348</v>
      </c>
      <c r="T208" s="249">
        <f>21.35/115</f>
        <v>0.18565217391304348</v>
      </c>
      <c r="U208" s="19"/>
      <c r="V208" s="249">
        <f>21.35/115</f>
        <v>0.18565217391304348</v>
      </c>
      <c r="W208" s="249">
        <f>(21.35+1.672)/115</f>
        <v>0.20019130434782612</v>
      </c>
      <c r="X208" s="249">
        <f>(21.35+1.672)/115</f>
        <v>0.20019130434782612</v>
      </c>
      <c r="Y208" s="249">
        <f>(21.35+1.672)/115</f>
        <v>0.20019130434782612</v>
      </c>
      <c r="Z208" s="249">
        <f>(21.35+1.672)/115</f>
        <v>0.20019130434782612</v>
      </c>
      <c r="AA208" s="19"/>
      <c r="AB208" s="249">
        <f>(21.35+1.672)/115</f>
        <v>0.20019130434782612</v>
      </c>
      <c r="AC208" s="249">
        <f>W208</f>
        <v>0.20019130434782612</v>
      </c>
      <c r="AD208" s="249">
        <f>X208</f>
        <v>0.20019130434782612</v>
      </c>
      <c r="AE208" s="249">
        <f>Y208</f>
        <v>0.20019130434782612</v>
      </c>
      <c r="AF208" s="249">
        <f>Z208</f>
        <v>0.20019130434782612</v>
      </c>
      <c r="AG208" s="19"/>
      <c r="AH208" s="249">
        <f>AB208</f>
        <v>0.20019130434782612</v>
      </c>
    </row>
    <row r="209" spans="1:34" ht="26.4"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26.4" customHeight="1" x14ac:dyDescent="0.2">
      <c r="A210" s="289"/>
      <c r="B210" s="284" t="s">
        <v>131</v>
      </c>
      <c r="C210" s="284"/>
      <c r="D210" s="273" t="s">
        <v>78</v>
      </c>
      <c r="E210" s="249">
        <f>4077/4077</f>
        <v>1</v>
      </c>
      <c r="F210" s="249">
        <f>4077/4077</f>
        <v>1</v>
      </c>
      <c r="G210" s="249">
        <f>4077/4077</f>
        <v>1</v>
      </c>
      <c r="H210" s="249">
        <f>4077/4077</f>
        <v>1</v>
      </c>
      <c r="I210" s="19"/>
      <c r="J210" s="249">
        <f>4077/4077</f>
        <v>1</v>
      </c>
      <c r="K210" s="249">
        <f>2669/2669</f>
        <v>1</v>
      </c>
      <c r="L210" s="249">
        <f>2669/2669</f>
        <v>1</v>
      </c>
      <c r="M210" s="249">
        <f>2669/2669</f>
        <v>1</v>
      </c>
      <c r="N210" s="249">
        <f>2669/2669</f>
        <v>1</v>
      </c>
      <c r="O210" s="1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3">
      <c r="A212" s="17">
        <v>2.2000000000000002</v>
      </c>
      <c r="B212" s="279" t="s">
        <v>33</v>
      </c>
      <c r="C212" s="505"/>
      <c r="D212" s="276"/>
      <c r="E212" s="276"/>
      <c r="F212" s="276"/>
      <c r="G212" s="276"/>
      <c r="H212" s="276"/>
      <c r="I212" s="276"/>
      <c r="J212" s="276"/>
      <c r="K212" s="276"/>
      <c r="L212" s="276"/>
      <c r="M212" s="276"/>
      <c r="N212" s="276"/>
      <c r="O212" s="276"/>
      <c r="P212" s="276"/>
      <c r="Q212" s="276"/>
      <c r="R212" s="276"/>
      <c r="S212" s="276"/>
      <c r="T212" s="276"/>
      <c r="U212" s="276"/>
      <c r="V212" s="276"/>
      <c r="W212" s="276"/>
      <c r="X212" s="276"/>
      <c r="Y212" s="276"/>
      <c r="Z212" s="276"/>
      <c r="AA212" s="276"/>
      <c r="AB212" s="276"/>
      <c r="AC212" s="276"/>
      <c r="AD212" s="276"/>
      <c r="AE212" s="276"/>
      <c r="AF212" s="276"/>
      <c r="AG212" s="276"/>
      <c r="AH212" s="277"/>
    </row>
    <row r="213" spans="1:34" ht="15.75" customHeight="1" x14ac:dyDescent="0.2">
      <c r="A213" s="289"/>
      <c r="B213" s="284" t="s">
        <v>43</v>
      </c>
      <c r="C213" s="284"/>
      <c r="D213" s="273" t="s">
        <v>78</v>
      </c>
      <c r="E213" s="249">
        <f>16.939/115</f>
        <v>0.14729565217391305</v>
      </c>
      <c r="F213" s="249">
        <f>16.939/115</f>
        <v>0.14729565217391305</v>
      </c>
      <c r="G213" s="249">
        <f>16.939/115</f>
        <v>0.14729565217391305</v>
      </c>
      <c r="H213" s="249">
        <f>16.939/115</f>
        <v>0.14729565217391305</v>
      </c>
      <c r="I213" s="19"/>
      <c r="J213" s="249">
        <f>16.939/115</f>
        <v>0.14729565217391305</v>
      </c>
      <c r="K213" s="249">
        <f>16.939/115</f>
        <v>0.14729565217391305</v>
      </c>
      <c r="L213" s="249">
        <f>16.939/115</f>
        <v>0.14729565217391305</v>
      </c>
      <c r="M213" s="249">
        <f>16.939/115</f>
        <v>0.14729565217391305</v>
      </c>
      <c r="N213" s="249">
        <f>16.939/115</f>
        <v>0.14729565217391305</v>
      </c>
      <c r="O213" s="19"/>
      <c r="P213" s="249">
        <f>16.939/115</f>
        <v>0.14729565217391305</v>
      </c>
      <c r="Q213" s="249">
        <f>16.939/115</f>
        <v>0.14729565217391305</v>
      </c>
      <c r="R213" s="249">
        <f>16.939/115</f>
        <v>0.14729565217391305</v>
      </c>
      <c r="S213" s="249">
        <f>16.939/115</f>
        <v>0.14729565217391305</v>
      </c>
      <c r="T213" s="249">
        <f>16.939/115</f>
        <v>0.14729565217391305</v>
      </c>
      <c r="U213" s="19"/>
      <c r="V213" s="249">
        <f>16.939/115</f>
        <v>0.14729565217391305</v>
      </c>
      <c r="W213" s="249">
        <f>(16.939+4.229+0.749)/115</f>
        <v>0.19058260869565216</v>
      </c>
      <c r="X213" s="249">
        <f>(16.939+4.229+0.749)/115</f>
        <v>0.19058260869565216</v>
      </c>
      <c r="Y213" s="249">
        <f>(16.939+4.229+0.749)/115</f>
        <v>0.19058260869565216</v>
      </c>
      <c r="Z213" s="249">
        <f>(16.939+4.229+0.749)/115</f>
        <v>0.19058260869565216</v>
      </c>
      <c r="AA213" s="19"/>
      <c r="AB213" s="249">
        <f t="shared" ref="AB213:AG213" si="0">(16.939+4.229+0.749)/115</f>
        <v>0.19058260869565216</v>
      </c>
      <c r="AC213" s="249">
        <f t="shared" si="0"/>
        <v>0.19058260869565216</v>
      </c>
      <c r="AD213" s="249">
        <f t="shared" si="0"/>
        <v>0.19058260869565216</v>
      </c>
      <c r="AE213" s="249">
        <f t="shared" si="0"/>
        <v>0.19058260869565216</v>
      </c>
      <c r="AF213" s="249">
        <f t="shared" si="0"/>
        <v>0.19058260869565216</v>
      </c>
      <c r="AG213" s="249">
        <f t="shared" si="0"/>
        <v>0.19058260869565216</v>
      </c>
      <c r="AH213" s="249">
        <v>0.19058260869565216</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249"/>
      <c r="AH214" s="4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16.939/(16.939+4.229+0.749)</f>
        <v>0.77287037459506325</v>
      </c>
      <c r="X215" s="249">
        <f>16.939/(16.939+4.229+0.749)</f>
        <v>0.77287037459506325</v>
      </c>
      <c r="Y215" s="249">
        <f>16.939/(16.939+4.229+0.749)</f>
        <v>0.77287037459506325</v>
      </c>
      <c r="Z215" s="249">
        <f>16.939/(16.939+4.229+0.749)</f>
        <v>0.77287037459506325</v>
      </c>
      <c r="AA215" s="19"/>
      <c r="AB215" s="249">
        <f t="shared" ref="AB215:AG215" si="1">16.939/(16.939+4.229+0.749)</f>
        <v>0.77287037459506325</v>
      </c>
      <c r="AC215" s="249">
        <f t="shared" si="1"/>
        <v>0.77287037459506325</v>
      </c>
      <c r="AD215" s="249">
        <f t="shared" si="1"/>
        <v>0.77287037459506325</v>
      </c>
      <c r="AE215" s="249">
        <f t="shared" si="1"/>
        <v>0.77287037459506325</v>
      </c>
      <c r="AF215" s="249">
        <f t="shared" si="1"/>
        <v>0.77287037459506325</v>
      </c>
      <c r="AG215" s="249">
        <f t="shared" si="1"/>
        <v>0.77287037459506325</v>
      </c>
      <c r="AH215" s="249">
        <v>1</v>
      </c>
    </row>
    <row r="216" spans="1:34" ht="34.799999999999997"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249"/>
      <c r="AH216" s="249"/>
    </row>
    <row r="217" spans="1:34" ht="29.4" customHeight="1" x14ac:dyDescent="0.2">
      <c r="A217" s="289"/>
      <c r="B217" s="284" t="s">
        <v>153</v>
      </c>
      <c r="C217" s="284"/>
      <c r="D217" s="25" t="s">
        <v>100</v>
      </c>
      <c r="E217" s="250">
        <v>2.88</v>
      </c>
      <c r="F217" s="250">
        <v>2.88</v>
      </c>
      <c r="G217" s="250">
        <v>2.88</v>
      </c>
      <c r="H217" s="250">
        <v>2.88</v>
      </c>
      <c r="I217" s="26"/>
      <c r="J217" s="250">
        <v>2.88</v>
      </c>
      <c r="K217" s="250">
        <v>2.88</v>
      </c>
      <c r="L217" s="250">
        <v>2.88</v>
      </c>
      <c r="M217" s="250">
        <v>2.88</v>
      </c>
      <c r="N217" s="250">
        <v>2.88</v>
      </c>
      <c r="O217" s="26"/>
      <c r="P217" s="250">
        <v>2.88</v>
      </c>
      <c r="Q217" s="250">
        <v>2.88</v>
      </c>
      <c r="R217" s="250">
        <v>2.88</v>
      </c>
      <c r="S217" s="250">
        <v>2.88</v>
      </c>
      <c r="T217" s="250">
        <v>2.88</v>
      </c>
      <c r="U217" s="26"/>
      <c r="V217" s="250">
        <v>2.88</v>
      </c>
      <c r="W217" s="250">
        <v>2.88</v>
      </c>
      <c r="X217" s="250">
        <v>2.88</v>
      </c>
      <c r="Y217" s="250">
        <v>2.88</v>
      </c>
      <c r="Z217" s="250">
        <v>2.88</v>
      </c>
      <c r="AA217" s="26"/>
      <c r="AB217" s="250">
        <v>2.88</v>
      </c>
      <c r="AC217" s="250">
        <v>2.88</v>
      </c>
      <c r="AD217" s="250">
        <v>2.88</v>
      </c>
      <c r="AE217" s="250">
        <v>2.88</v>
      </c>
      <c r="AF217" s="250">
        <v>2.88</v>
      </c>
      <c r="AG217" s="250">
        <v>2.88</v>
      </c>
      <c r="AH217" s="250">
        <v>2.88</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51"/>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1486</v>
      </c>
      <c r="F226" s="23">
        <v>1488</v>
      </c>
      <c r="G226" s="23">
        <v>1491</v>
      </c>
      <c r="H226" s="23">
        <v>1493</v>
      </c>
      <c r="I226" s="41"/>
      <c r="J226" s="41">
        <v>1493</v>
      </c>
      <c r="K226" s="23">
        <v>1496</v>
      </c>
      <c r="L226" s="23">
        <v>1498</v>
      </c>
      <c r="M226" s="23">
        <v>1501</v>
      </c>
      <c r="N226" s="23">
        <v>1503</v>
      </c>
      <c r="O226" s="41"/>
      <c r="P226" s="41">
        <v>1503</v>
      </c>
      <c r="Q226" s="23">
        <v>1506</v>
      </c>
      <c r="R226" s="23">
        <v>1508</v>
      </c>
      <c r="S226" s="23">
        <v>1511</v>
      </c>
      <c r="T226" s="23">
        <v>1513</v>
      </c>
      <c r="U226" s="23"/>
      <c r="V226" s="41">
        <v>1513</v>
      </c>
      <c r="W226" s="23">
        <v>1518</v>
      </c>
      <c r="X226" s="23">
        <v>1522</v>
      </c>
      <c r="Y226" s="23">
        <v>1527</v>
      </c>
      <c r="Z226" s="23">
        <v>1531</v>
      </c>
      <c r="AA226" s="41"/>
      <c r="AB226" s="85">
        <v>1531</v>
      </c>
      <c r="AC226" s="23">
        <v>1528</v>
      </c>
      <c r="AD226" s="23">
        <v>1529</v>
      </c>
      <c r="AE226" s="23">
        <v>1530</v>
      </c>
      <c r="AF226" s="23">
        <v>1531</v>
      </c>
      <c r="AG226" s="41"/>
      <c r="AH226" s="85">
        <v>1531</v>
      </c>
    </row>
    <row r="227" spans="1:34" ht="33.6" customHeight="1" x14ac:dyDescent="0.2">
      <c r="A227" s="289"/>
      <c r="B227" s="284"/>
      <c r="C227" s="284"/>
      <c r="D227" s="25" t="s">
        <v>32</v>
      </c>
      <c r="E227" s="26">
        <v>21.35</v>
      </c>
      <c r="F227" s="26">
        <v>21.35</v>
      </c>
      <c r="G227" s="26">
        <v>21.35</v>
      </c>
      <c r="H227" s="26">
        <v>21.35</v>
      </c>
      <c r="I227" s="26"/>
      <c r="J227" s="26">
        <v>21.35</v>
      </c>
      <c r="K227" s="26">
        <v>21.35</v>
      </c>
      <c r="L227" s="26">
        <v>21.35</v>
      </c>
      <c r="M227" s="26">
        <v>21.35</v>
      </c>
      <c r="N227" s="26">
        <v>21.35</v>
      </c>
      <c r="O227" s="26"/>
      <c r="P227" s="26">
        <v>21.35</v>
      </c>
      <c r="Q227" s="26">
        <v>21.35</v>
      </c>
      <c r="R227" s="26">
        <v>21.35</v>
      </c>
      <c r="S227" s="26">
        <v>21.35</v>
      </c>
      <c r="T227" s="26">
        <v>21.35</v>
      </c>
      <c r="U227" s="44"/>
      <c r="V227" s="26">
        <v>21.35</v>
      </c>
      <c r="W227" s="26">
        <v>23.022000000000002</v>
      </c>
      <c r="X227" s="26">
        <v>23.022000000000002</v>
      </c>
      <c r="Y227" s="26">
        <v>23.022000000000002</v>
      </c>
      <c r="Z227" s="26">
        <v>23.022000000000002</v>
      </c>
      <c r="AA227" s="26"/>
      <c r="AB227" s="26">
        <v>23.022000000000002</v>
      </c>
      <c r="AC227" s="26">
        <v>23.022000000000002</v>
      </c>
      <c r="AD227" s="26">
        <v>23.022000000000002</v>
      </c>
      <c r="AE227" s="26">
        <v>23.022000000000002</v>
      </c>
      <c r="AF227" s="26">
        <v>23.022000000000002</v>
      </c>
      <c r="AG227" s="26"/>
      <c r="AH227" s="58">
        <v>23.022000000000002</v>
      </c>
    </row>
    <row r="228" spans="1:34" ht="15.75" customHeight="1" x14ac:dyDescent="0.2">
      <c r="A228" s="289"/>
      <c r="B228" s="284" t="s">
        <v>46</v>
      </c>
      <c r="C228" s="284"/>
      <c r="D228" s="25" t="s">
        <v>32</v>
      </c>
      <c r="E228" s="26">
        <v>21.35</v>
      </c>
      <c r="F228" s="26">
        <v>21.35</v>
      </c>
      <c r="G228" s="26">
        <v>21.35</v>
      </c>
      <c r="H228" s="26">
        <v>21.35</v>
      </c>
      <c r="I228" s="26"/>
      <c r="J228" s="26">
        <v>21.35</v>
      </c>
      <c r="K228" s="26">
        <v>21.35</v>
      </c>
      <c r="L228" s="26">
        <v>21.35</v>
      </c>
      <c r="M228" s="26">
        <v>21.35</v>
      </c>
      <c r="N228" s="26">
        <v>21.35</v>
      </c>
      <c r="O228" s="26"/>
      <c r="P228" s="26">
        <v>21.35</v>
      </c>
      <c r="Q228" s="26">
        <v>21.35</v>
      </c>
      <c r="R228" s="26">
        <v>21.35</v>
      </c>
      <c r="S228" s="26">
        <v>21.35</v>
      </c>
      <c r="T228" s="26">
        <v>21.35</v>
      </c>
      <c r="U228" s="44"/>
      <c r="V228" s="26">
        <v>21.35</v>
      </c>
      <c r="W228" s="26">
        <f>21.35+1.672</f>
        <v>23.022000000000002</v>
      </c>
      <c r="X228" s="26">
        <f>21.35+1.672</f>
        <v>23.022000000000002</v>
      </c>
      <c r="Y228" s="26">
        <f>21.35+1.672</f>
        <v>23.022000000000002</v>
      </c>
      <c r="Z228" s="26">
        <f>21.35+1.672</f>
        <v>23.022000000000002</v>
      </c>
      <c r="AA228" s="26"/>
      <c r="AB228" s="26">
        <f>21.35+1.672</f>
        <v>23.022000000000002</v>
      </c>
      <c r="AC228" s="26">
        <f>21.35+1.672</f>
        <v>23.022000000000002</v>
      </c>
      <c r="AD228" s="26">
        <f>21.35+1.672</f>
        <v>23.022000000000002</v>
      </c>
      <c r="AE228" s="26">
        <f>21.35+1.672</f>
        <v>23.022000000000002</v>
      </c>
      <c r="AF228" s="26">
        <f>21.35+1.672</f>
        <v>23.022000000000002</v>
      </c>
      <c r="AG228" s="26"/>
      <c r="AH228" s="58">
        <f>AB228</f>
        <v>23.022000000000002</v>
      </c>
    </row>
    <row r="229" spans="1:34" x14ac:dyDescent="0.2">
      <c r="A229" s="289"/>
      <c r="B229" s="284"/>
      <c r="C229" s="284"/>
      <c r="D229" s="25" t="s">
        <v>143</v>
      </c>
      <c r="E229" s="51">
        <v>2730</v>
      </c>
      <c r="F229" s="51">
        <v>2859.4</v>
      </c>
      <c r="G229" s="51">
        <v>2988.8</v>
      </c>
      <c r="H229" s="51">
        <v>3118.2</v>
      </c>
      <c r="I229" s="41"/>
      <c r="J229" s="41">
        <v>3118.2</v>
      </c>
      <c r="K229" s="51">
        <v>3247.6</v>
      </c>
      <c r="L229" s="51">
        <v>3377</v>
      </c>
      <c r="M229" s="51">
        <v>3506.4</v>
      </c>
      <c r="N229" s="51">
        <v>3635.8</v>
      </c>
      <c r="O229" s="41"/>
      <c r="P229" s="41">
        <v>3635.8</v>
      </c>
      <c r="Q229" s="51">
        <v>3765.05</v>
      </c>
      <c r="R229" s="51">
        <v>3894.3</v>
      </c>
      <c r="S229" s="51">
        <v>4023.55</v>
      </c>
      <c r="T229" s="51">
        <v>4152.8</v>
      </c>
      <c r="U229" s="51"/>
      <c r="V229" s="41">
        <v>4152.8</v>
      </c>
      <c r="W229" s="51">
        <v>4281.8999999999996</v>
      </c>
      <c r="X229" s="51">
        <v>4411</v>
      </c>
      <c r="Y229" s="51">
        <v>4540.1000000000004</v>
      </c>
      <c r="Z229" s="51">
        <v>4669.2</v>
      </c>
      <c r="AA229" s="41"/>
      <c r="AB229" s="41">
        <v>4669.2</v>
      </c>
      <c r="AC229" s="51">
        <v>4796.8537500000002</v>
      </c>
      <c r="AD229" s="51">
        <v>4924.5074999999997</v>
      </c>
      <c r="AE229" s="51">
        <v>5052.1612500000001</v>
      </c>
      <c r="AF229" s="51">
        <v>5179.8150000000014</v>
      </c>
      <c r="AG229" s="41"/>
      <c r="AH229" s="41">
        <v>5179.8150000000014</v>
      </c>
    </row>
    <row r="230" spans="1:34" ht="15.75" customHeight="1" x14ac:dyDescent="0.2">
      <c r="A230" s="289"/>
      <c r="B230" s="284" t="s">
        <v>47</v>
      </c>
      <c r="C230" s="284"/>
      <c r="D230" s="25" t="s">
        <v>32</v>
      </c>
      <c r="E230" s="45">
        <v>24.01</v>
      </c>
      <c r="F230" s="45">
        <v>24.01</v>
      </c>
      <c r="G230" s="45">
        <v>24.01</v>
      </c>
      <c r="H230" s="45">
        <v>24.01</v>
      </c>
      <c r="I230" s="41"/>
      <c r="J230" s="26">
        <v>24.01</v>
      </c>
      <c r="K230" s="26">
        <v>24.01</v>
      </c>
      <c r="L230" s="26">
        <v>24.01</v>
      </c>
      <c r="M230" s="26">
        <v>24.01</v>
      </c>
      <c r="N230" s="26">
        <v>24.01</v>
      </c>
      <c r="O230" s="26"/>
      <c r="P230" s="26">
        <v>24.01</v>
      </c>
      <c r="Q230" s="26">
        <v>24.01</v>
      </c>
      <c r="R230" s="26">
        <v>24.01</v>
      </c>
      <c r="S230" s="26">
        <v>24.01</v>
      </c>
      <c r="T230" s="26">
        <v>24.01</v>
      </c>
      <c r="U230" s="44"/>
      <c r="V230" s="26">
        <v>24.01</v>
      </c>
      <c r="W230" s="44">
        <v>25.68</v>
      </c>
      <c r="X230" s="44">
        <v>25.68</v>
      </c>
      <c r="Y230" s="44">
        <v>25.68</v>
      </c>
      <c r="Z230" s="44">
        <v>25.68</v>
      </c>
      <c r="AA230" s="26"/>
      <c r="AB230" s="26">
        <f>24.01+1.672</f>
        <v>25.682000000000002</v>
      </c>
      <c r="AC230" s="26">
        <f>24.01+1.672</f>
        <v>25.682000000000002</v>
      </c>
      <c r="AD230" s="26">
        <f>24.01+1.672</f>
        <v>25.682000000000002</v>
      </c>
      <c r="AE230" s="26">
        <f>24.01+1.672</f>
        <v>25.682000000000002</v>
      </c>
      <c r="AF230" s="26">
        <f>24.01+1.672</f>
        <v>25.682000000000002</v>
      </c>
      <c r="AG230" s="26"/>
      <c r="AH230" s="58">
        <f>AB230</f>
        <v>25.682000000000002</v>
      </c>
    </row>
    <row r="231" spans="1:34" x14ac:dyDescent="0.2">
      <c r="A231" s="289"/>
      <c r="B231" s="284"/>
      <c r="C231" s="284"/>
      <c r="D231" s="25" t="s">
        <v>143</v>
      </c>
      <c r="E231" s="51">
        <v>2730</v>
      </c>
      <c r="F231" s="51">
        <v>2859.4</v>
      </c>
      <c r="G231" s="51">
        <v>2988.8</v>
      </c>
      <c r="H231" s="51">
        <v>3118.2</v>
      </c>
      <c r="I231" s="41"/>
      <c r="J231" s="41">
        <v>3118.2</v>
      </c>
      <c r="K231" s="51">
        <v>3247.6</v>
      </c>
      <c r="L231" s="51">
        <v>3377</v>
      </c>
      <c r="M231" s="51">
        <v>3506.4</v>
      </c>
      <c r="N231" s="51">
        <v>3635.8</v>
      </c>
      <c r="O231" s="41"/>
      <c r="P231" s="41">
        <v>3635.8</v>
      </c>
      <c r="Q231" s="51">
        <v>3765.05</v>
      </c>
      <c r="R231" s="51">
        <v>3894.3</v>
      </c>
      <c r="S231" s="51">
        <v>4023.55</v>
      </c>
      <c r="T231" s="51">
        <v>4152.8</v>
      </c>
      <c r="U231" s="51"/>
      <c r="V231" s="41">
        <v>4152.8</v>
      </c>
      <c r="W231" s="51">
        <v>4281.8999999999996</v>
      </c>
      <c r="X231" s="51">
        <v>4411</v>
      </c>
      <c r="Y231" s="51">
        <v>4540.1000000000004</v>
      </c>
      <c r="Z231" s="51">
        <v>4669.2</v>
      </c>
      <c r="AA231" s="41"/>
      <c r="AB231" s="41">
        <v>4669.2</v>
      </c>
      <c r="AC231" s="51">
        <v>4796.8537500000002</v>
      </c>
      <c r="AD231" s="51">
        <v>4924.5074999999997</v>
      </c>
      <c r="AE231" s="51">
        <v>5052.1612500000001</v>
      </c>
      <c r="AF231" s="51">
        <v>5179.8150000000014</v>
      </c>
      <c r="AG231" s="41"/>
      <c r="AH231" s="41">
        <v>5179.8150000000014</v>
      </c>
    </row>
    <row r="232" spans="1:34" x14ac:dyDescent="0.2">
      <c r="A232" s="289"/>
      <c r="B232" s="284" t="s">
        <v>36</v>
      </c>
      <c r="C232" s="284"/>
      <c r="D232" s="25" t="s">
        <v>144</v>
      </c>
      <c r="E232" s="23">
        <v>679</v>
      </c>
      <c r="F232" s="23">
        <v>682</v>
      </c>
      <c r="G232" s="23">
        <v>685</v>
      </c>
      <c r="H232" s="23">
        <v>688</v>
      </c>
      <c r="I232" s="41"/>
      <c r="J232" s="41">
        <v>688</v>
      </c>
      <c r="K232" s="23">
        <v>691</v>
      </c>
      <c r="L232" s="23">
        <v>694</v>
      </c>
      <c r="M232" s="23">
        <v>697</v>
      </c>
      <c r="N232" s="23">
        <v>700</v>
      </c>
      <c r="O232" s="41"/>
      <c r="P232" s="41">
        <v>700</v>
      </c>
      <c r="Q232" s="23">
        <v>703</v>
      </c>
      <c r="R232" s="23">
        <v>706</v>
      </c>
      <c r="S232" s="23">
        <v>709</v>
      </c>
      <c r="T232" s="23">
        <v>712</v>
      </c>
      <c r="U232" s="41"/>
      <c r="V232" s="41">
        <v>712</v>
      </c>
      <c r="W232" s="23">
        <v>735</v>
      </c>
      <c r="X232" s="23">
        <v>758</v>
      </c>
      <c r="Y232" s="23">
        <v>780</v>
      </c>
      <c r="Z232" s="23">
        <v>803</v>
      </c>
      <c r="AA232" s="41"/>
      <c r="AB232" s="41">
        <v>803</v>
      </c>
      <c r="AC232" s="23">
        <v>801</v>
      </c>
      <c r="AD232" s="23">
        <v>802</v>
      </c>
      <c r="AE232" s="23">
        <v>802</v>
      </c>
      <c r="AF232" s="23">
        <v>803</v>
      </c>
      <c r="AG232" s="41"/>
      <c r="AH232" s="41">
        <v>803</v>
      </c>
    </row>
    <row r="233" spans="1:34" ht="22.8" customHeight="1" x14ac:dyDescent="0.2">
      <c r="A233" s="289"/>
      <c r="B233" s="284"/>
      <c r="C233" s="284"/>
      <c r="D233" s="25" t="s">
        <v>32</v>
      </c>
      <c r="E233" s="23">
        <v>19.940000000000001</v>
      </c>
      <c r="F233" s="23">
        <v>19.940000000000001</v>
      </c>
      <c r="G233" s="23">
        <v>19.940000000000001</v>
      </c>
      <c r="H233" s="23">
        <v>19.940000000000001</v>
      </c>
      <c r="I233" s="41"/>
      <c r="J233" s="26">
        <v>16.939</v>
      </c>
      <c r="K233" s="26">
        <v>16.939</v>
      </c>
      <c r="L233" s="26">
        <v>16.939</v>
      </c>
      <c r="M233" s="26">
        <v>16.939</v>
      </c>
      <c r="N233" s="26">
        <v>16.939</v>
      </c>
      <c r="O233" s="41"/>
      <c r="P233" s="26">
        <v>16.939</v>
      </c>
      <c r="Q233" s="26">
        <v>16.939</v>
      </c>
      <c r="R233" s="26">
        <v>16.939</v>
      </c>
      <c r="S233" s="26">
        <v>16.939</v>
      </c>
      <c r="T233" s="26">
        <v>16.939</v>
      </c>
      <c r="U233" s="41"/>
      <c r="V233" s="26">
        <v>16.939</v>
      </c>
      <c r="W233" s="23">
        <v>21.92</v>
      </c>
      <c r="X233" s="23">
        <v>21.92</v>
      </c>
      <c r="Y233" s="23">
        <v>21.92</v>
      </c>
      <c r="Z233" s="23">
        <v>21.92</v>
      </c>
      <c r="AA233" s="41"/>
      <c r="AB233" s="26">
        <f>16.939+4.229+0.749</f>
        <v>21.916999999999998</v>
      </c>
      <c r="AC233" s="26">
        <f>16.939+4.229+0.749</f>
        <v>21.916999999999998</v>
      </c>
      <c r="AD233" s="26">
        <f>16.939+4.229+0.749</f>
        <v>21.916999999999998</v>
      </c>
      <c r="AE233" s="26">
        <f>16.939+4.229+0.749</f>
        <v>21.916999999999998</v>
      </c>
      <c r="AF233" s="26">
        <f>16.939+4.229+0.749</f>
        <v>21.916999999999998</v>
      </c>
      <c r="AG233" s="41"/>
      <c r="AH233" s="26">
        <f>AB233</f>
        <v>21.916999999999998</v>
      </c>
    </row>
    <row r="234" spans="1:34" x14ac:dyDescent="0.2">
      <c r="A234" s="289"/>
      <c r="B234" s="284" t="s">
        <v>48</v>
      </c>
      <c r="C234" s="284"/>
      <c r="D234" s="24" t="s">
        <v>143</v>
      </c>
      <c r="E234" s="19">
        <v>1105.0374999999999</v>
      </c>
      <c r="F234" s="19">
        <v>1169.7750000000001</v>
      </c>
      <c r="G234" s="19">
        <v>1234.5125</v>
      </c>
      <c r="H234" s="19">
        <v>1299.25</v>
      </c>
      <c r="I234" s="41"/>
      <c r="J234" s="47">
        <v>1299.25</v>
      </c>
      <c r="K234" s="23">
        <v>1363.9875</v>
      </c>
      <c r="L234" s="23">
        <v>1428.7249999999999</v>
      </c>
      <c r="M234" s="23">
        <v>1493.4625000000001</v>
      </c>
      <c r="N234" s="23">
        <v>1558.2</v>
      </c>
      <c r="O234" s="41"/>
      <c r="P234" s="41">
        <v>1558.2</v>
      </c>
      <c r="Q234" s="23">
        <v>1622.8625</v>
      </c>
      <c r="R234" s="23">
        <v>1687.5250000000001</v>
      </c>
      <c r="S234" s="23">
        <v>1752.1875</v>
      </c>
      <c r="T234" s="23">
        <v>1816.85</v>
      </c>
      <c r="U234" s="41"/>
      <c r="V234" s="41">
        <v>1816.85</v>
      </c>
      <c r="W234" s="23">
        <v>2011</v>
      </c>
      <c r="X234" s="23">
        <v>2205</v>
      </c>
      <c r="Y234" s="23">
        <v>2400</v>
      </c>
      <c r="Z234" s="23">
        <v>2594</v>
      </c>
      <c r="AA234" s="41"/>
      <c r="AB234" s="41">
        <v>2594</v>
      </c>
      <c r="AC234" s="23">
        <v>2658.4375</v>
      </c>
      <c r="AD234" s="23">
        <v>2722.875</v>
      </c>
      <c r="AE234" s="23">
        <v>2787.3125</v>
      </c>
      <c r="AF234" s="23">
        <v>2851.75</v>
      </c>
      <c r="AG234" s="41"/>
      <c r="AH234" s="41">
        <v>2851.75</v>
      </c>
    </row>
    <row r="235" spans="1:34" ht="33.6" customHeight="1" x14ac:dyDescent="0.2">
      <c r="A235" s="289"/>
      <c r="B235" s="284"/>
      <c r="C235" s="284"/>
      <c r="D235" s="24" t="s">
        <v>143</v>
      </c>
      <c r="E235" s="47">
        <f>5200-3</f>
        <v>5197</v>
      </c>
      <c r="F235" s="47">
        <f>5200-3</f>
        <v>5197</v>
      </c>
      <c r="G235" s="47">
        <f>5200-3</f>
        <v>5197</v>
      </c>
      <c r="H235" s="47">
        <f>5200-3</f>
        <v>5197</v>
      </c>
      <c r="I235" s="41"/>
      <c r="J235" s="47">
        <f>5200-3</f>
        <v>5197</v>
      </c>
      <c r="K235" s="41">
        <f>E235-3</f>
        <v>5194</v>
      </c>
      <c r="L235" s="41">
        <f>F235-3</f>
        <v>5194</v>
      </c>
      <c r="M235" s="41">
        <f>G235-3</f>
        <v>5194</v>
      </c>
      <c r="N235" s="41">
        <f>H235-3</f>
        <v>5194</v>
      </c>
      <c r="O235" s="41"/>
      <c r="P235" s="41">
        <f>J235-3</f>
        <v>5194</v>
      </c>
      <c r="Q235" s="41">
        <f>K235-3</f>
        <v>5191</v>
      </c>
      <c r="R235" s="41">
        <f>L235-3</f>
        <v>5191</v>
      </c>
      <c r="S235" s="41">
        <f>M235-3</f>
        <v>5191</v>
      </c>
      <c r="T235" s="41">
        <f>N235-3</f>
        <v>5191</v>
      </c>
      <c r="U235" s="41"/>
      <c r="V235" s="41">
        <f>P235-3</f>
        <v>5191</v>
      </c>
      <c r="W235" s="41">
        <f>Q235-3</f>
        <v>5188</v>
      </c>
      <c r="X235" s="41">
        <f>R235-3</f>
        <v>5188</v>
      </c>
      <c r="Y235" s="41">
        <f>S235-3</f>
        <v>5188</v>
      </c>
      <c r="Z235" s="41">
        <f>T235-3</f>
        <v>5188</v>
      </c>
      <c r="AA235" s="41"/>
      <c r="AB235" s="41">
        <f>V235-3</f>
        <v>5188</v>
      </c>
      <c r="AC235" s="41">
        <f>W235-3</f>
        <v>5185</v>
      </c>
      <c r="AD235" s="41">
        <f>X235-3</f>
        <v>5185</v>
      </c>
      <c r="AE235" s="41">
        <f>Y235-3</f>
        <v>5185</v>
      </c>
      <c r="AF235" s="41">
        <f>Z235-3</f>
        <v>5185</v>
      </c>
      <c r="AG235" s="41"/>
      <c r="AH235" s="41">
        <f>AB235-3</f>
        <v>5185</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9"/>
      <c r="D256" s="9"/>
    </row>
  </sheetData>
  <mergeCells count="2950">
    <mergeCell ref="J253:J254"/>
    <mergeCell ref="P253:P254"/>
    <mergeCell ref="V253:V254"/>
    <mergeCell ref="AB253:AB254"/>
    <mergeCell ref="AH253:AH254"/>
    <mergeCell ref="AB213:AB214"/>
    <mergeCell ref="J249:J250"/>
    <mergeCell ref="P249:P250"/>
    <mergeCell ref="V249:V250"/>
    <mergeCell ref="AB249:AB250"/>
    <mergeCell ref="AH249:AH250"/>
    <mergeCell ref="J251:J252"/>
    <mergeCell ref="P251:P252"/>
    <mergeCell ref="V251:V252"/>
    <mergeCell ref="AB251:AB252"/>
    <mergeCell ref="AH251:AH252"/>
    <mergeCell ref="K249:K250"/>
    <mergeCell ref="L249:L250"/>
    <mergeCell ref="M249:M250"/>
    <mergeCell ref="N249:N250"/>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AB241:AB242"/>
    <mergeCell ref="AH241:AH242"/>
    <mergeCell ref="J243:J244"/>
    <mergeCell ref="P243:P244"/>
    <mergeCell ref="V243:V244"/>
    <mergeCell ref="AB243:AB244"/>
    <mergeCell ref="AH243:AH244"/>
    <mergeCell ref="AH237:AH238"/>
    <mergeCell ref="J239:J240"/>
    <mergeCell ref="P239:P240"/>
    <mergeCell ref="V239:V240"/>
    <mergeCell ref="AB239:AB240"/>
    <mergeCell ref="AH239:AH240"/>
    <mergeCell ref="N237:N238"/>
    <mergeCell ref="M239:M240"/>
    <mergeCell ref="N239:N240"/>
    <mergeCell ref="Q237:Q238"/>
    <mergeCell ref="Q239:Q240"/>
    <mergeCell ref="R239:R240"/>
    <mergeCell ref="S239:S240"/>
    <mergeCell ref="T239:T240"/>
    <mergeCell ref="Q241:Q242"/>
    <mergeCell ref="R241:R242"/>
    <mergeCell ref="S241:S242"/>
    <mergeCell ref="T241:T242"/>
    <mergeCell ref="Q243:Q244"/>
    <mergeCell ref="R243:R244"/>
    <mergeCell ref="S243:S244"/>
    <mergeCell ref="T243:T244"/>
    <mergeCell ref="W241:W242"/>
    <mergeCell ref="X241:X242"/>
    <mergeCell ref="G222:H222"/>
    <mergeCell ref="M222:N222"/>
    <mergeCell ref="S222:T222"/>
    <mergeCell ref="Y222:Z222"/>
    <mergeCell ref="AE222:AF222"/>
    <mergeCell ref="J237:J238"/>
    <mergeCell ref="P237:P238"/>
    <mergeCell ref="V237:V238"/>
    <mergeCell ref="AB237:AB238"/>
    <mergeCell ref="M237:M238"/>
    <mergeCell ref="J215:J216"/>
    <mergeCell ref="P215:P216"/>
    <mergeCell ref="V215:V216"/>
    <mergeCell ref="AB215:AB216"/>
    <mergeCell ref="AH215:AH216"/>
    <mergeCell ref="J217:J218"/>
    <mergeCell ref="P217:P218"/>
    <mergeCell ref="V217:V218"/>
    <mergeCell ref="AB217:AB218"/>
    <mergeCell ref="AH217:AH218"/>
    <mergeCell ref="R237:R238"/>
    <mergeCell ref="S237:S238"/>
    <mergeCell ref="T237:T238"/>
    <mergeCell ref="W237:W238"/>
    <mergeCell ref="X237:X238"/>
    <mergeCell ref="AE237:AE238"/>
    <mergeCell ref="AF237:AF238"/>
    <mergeCell ref="N217:N218"/>
    <mergeCell ref="Z215:Z216"/>
    <mergeCell ref="Z217:Z218"/>
    <mergeCell ref="AC215:AC216"/>
    <mergeCell ref="AD215:AD216"/>
    <mergeCell ref="J210:J211"/>
    <mergeCell ref="P210:P211"/>
    <mergeCell ref="V210:V211"/>
    <mergeCell ref="AB210:AB211"/>
    <mergeCell ref="AH210:AH211"/>
    <mergeCell ref="D213:D214"/>
    <mergeCell ref="J213:J214"/>
    <mergeCell ref="P213:P214"/>
    <mergeCell ref="V213:V214"/>
    <mergeCell ref="AH213:AH214"/>
    <mergeCell ref="J206:J207"/>
    <mergeCell ref="P206:P207"/>
    <mergeCell ref="V206:V207"/>
    <mergeCell ref="AB206:AB207"/>
    <mergeCell ref="AH206:AH207"/>
    <mergeCell ref="J208:J209"/>
    <mergeCell ref="P208:P209"/>
    <mergeCell ref="V208:V209"/>
    <mergeCell ref="AB208:AB209"/>
    <mergeCell ref="AH208:AH209"/>
    <mergeCell ref="E206:E207"/>
    <mergeCell ref="F206:F207"/>
    <mergeCell ref="G206:G207"/>
    <mergeCell ref="H206:H207"/>
    <mergeCell ref="E208:E209"/>
    <mergeCell ref="F208:F209"/>
    <mergeCell ref="G208:G209"/>
    <mergeCell ref="H208:H209"/>
    <mergeCell ref="E210:E211"/>
    <mergeCell ref="F210:F211"/>
    <mergeCell ref="G210:G211"/>
    <mergeCell ref="H210:H211"/>
    <mergeCell ref="AH202:AH203"/>
    <mergeCell ref="D204:D205"/>
    <mergeCell ref="J204:J205"/>
    <mergeCell ref="P204:P205"/>
    <mergeCell ref="V204:V205"/>
    <mergeCell ref="AB204:AB205"/>
    <mergeCell ref="AH204:AH205"/>
    <mergeCell ref="E202:E203"/>
    <mergeCell ref="F202:F203"/>
    <mergeCell ref="G202:G203"/>
    <mergeCell ref="J200:J201"/>
    <mergeCell ref="P200:P201"/>
    <mergeCell ref="V200:V201"/>
    <mergeCell ref="AB200:AB201"/>
    <mergeCell ref="AH200:AH201"/>
    <mergeCell ref="D202:D203"/>
    <mergeCell ref="J202:J203"/>
    <mergeCell ref="P202:P203"/>
    <mergeCell ref="V202:V203"/>
    <mergeCell ref="AB202:AB203"/>
    <mergeCell ref="E200:E201"/>
    <mergeCell ref="F200:F201"/>
    <mergeCell ref="G200:G201"/>
    <mergeCell ref="H200:H201"/>
    <mergeCell ref="H202:H203"/>
    <mergeCell ref="E204:E205"/>
    <mergeCell ref="F204:F205"/>
    <mergeCell ref="G204:G205"/>
    <mergeCell ref="H204:H205"/>
    <mergeCell ref="K200:K201"/>
    <mergeCell ref="L200:L201"/>
    <mergeCell ref="M200:M201"/>
    <mergeCell ref="AH196:AH197"/>
    <mergeCell ref="J198:J199"/>
    <mergeCell ref="P198:P199"/>
    <mergeCell ref="V198:V199"/>
    <mergeCell ref="AB198:AB199"/>
    <mergeCell ref="AH198:AH199"/>
    <mergeCell ref="N196:N197"/>
    <mergeCell ref="K198:K199"/>
    <mergeCell ref="L198:L199"/>
    <mergeCell ref="M198:M199"/>
    <mergeCell ref="J192:J193"/>
    <mergeCell ref="P192:P193"/>
    <mergeCell ref="V192:V193"/>
    <mergeCell ref="AB192:AB193"/>
    <mergeCell ref="AH192:AH193"/>
    <mergeCell ref="D196:D197"/>
    <mergeCell ref="J196:J197"/>
    <mergeCell ref="P196:P197"/>
    <mergeCell ref="V196:V197"/>
    <mergeCell ref="AB196:AB197"/>
    <mergeCell ref="E192:E193"/>
    <mergeCell ref="F192:F193"/>
    <mergeCell ref="G192:G193"/>
    <mergeCell ref="H192:H193"/>
    <mergeCell ref="K192:K193"/>
    <mergeCell ref="L192:L193"/>
    <mergeCell ref="M192:M193"/>
    <mergeCell ref="N192:N193"/>
    <mergeCell ref="Q192:Q193"/>
    <mergeCell ref="R192:R193"/>
    <mergeCell ref="S192:S193"/>
    <mergeCell ref="T192:T193"/>
    <mergeCell ref="AH187:AH188"/>
    <mergeCell ref="J190:J191"/>
    <mergeCell ref="P190:P191"/>
    <mergeCell ref="V190:V191"/>
    <mergeCell ref="AB190:AB191"/>
    <mergeCell ref="AH190:AH191"/>
    <mergeCell ref="J183:J184"/>
    <mergeCell ref="P183:P184"/>
    <mergeCell ref="V183:V184"/>
    <mergeCell ref="AB183:AB184"/>
    <mergeCell ref="AH183:AH184"/>
    <mergeCell ref="J185:J186"/>
    <mergeCell ref="P185:P186"/>
    <mergeCell ref="V185:V186"/>
    <mergeCell ref="AB185:AB186"/>
    <mergeCell ref="AH185:AH186"/>
    <mergeCell ref="AD183:AD184"/>
    <mergeCell ref="AE183:AE184"/>
    <mergeCell ref="AF183:AF184"/>
    <mergeCell ref="AD185:AD186"/>
    <mergeCell ref="AE185:AE186"/>
    <mergeCell ref="AF185:AF186"/>
    <mergeCell ref="AD187:AD188"/>
    <mergeCell ref="AE187:AE188"/>
    <mergeCell ref="AF187:AF188"/>
    <mergeCell ref="AD190:AD191"/>
    <mergeCell ref="AE190:AE191"/>
    <mergeCell ref="AF190:AF191"/>
    <mergeCell ref="AH179:AH180"/>
    <mergeCell ref="J181:J182"/>
    <mergeCell ref="P181:P182"/>
    <mergeCell ref="V181:V182"/>
    <mergeCell ref="AB181:AB182"/>
    <mergeCell ref="AH181:AH182"/>
    <mergeCell ref="J175:J176"/>
    <mergeCell ref="P175:P176"/>
    <mergeCell ref="V175:V176"/>
    <mergeCell ref="AB175:AB176"/>
    <mergeCell ref="AH175:AH176"/>
    <mergeCell ref="J177:J178"/>
    <mergeCell ref="P177:P178"/>
    <mergeCell ref="V177:V178"/>
    <mergeCell ref="AB177:AB178"/>
    <mergeCell ref="AH177:AH178"/>
    <mergeCell ref="AD175:AD176"/>
    <mergeCell ref="AE175:AE176"/>
    <mergeCell ref="AF175:AF176"/>
    <mergeCell ref="AD177:AD178"/>
    <mergeCell ref="AE177:AE178"/>
    <mergeCell ref="AF177:AF178"/>
    <mergeCell ref="AD179:AD180"/>
    <mergeCell ref="AE179:AE180"/>
    <mergeCell ref="AF179:AF180"/>
    <mergeCell ref="AD181:AD182"/>
    <mergeCell ref="AE181:AE182"/>
    <mergeCell ref="AF181:AF182"/>
    <mergeCell ref="AH171:AH172"/>
    <mergeCell ref="J173:J174"/>
    <mergeCell ref="P173:P174"/>
    <mergeCell ref="V173:V174"/>
    <mergeCell ref="AB173:AB174"/>
    <mergeCell ref="AH173:AH174"/>
    <mergeCell ref="J167:J168"/>
    <mergeCell ref="P167:P168"/>
    <mergeCell ref="V167:V168"/>
    <mergeCell ref="AB167:AB168"/>
    <mergeCell ref="AH167:AH168"/>
    <mergeCell ref="J169:J170"/>
    <mergeCell ref="P169:P170"/>
    <mergeCell ref="V169:V170"/>
    <mergeCell ref="AB169:AB170"/>
    <mergeCell ref="AH169:AH170"/>
    <mergeCell ref="AD167:AD168"/>
    <mergeCell ref="AE167:AE168"/>
    <mergeCell ref="AF167:AF168"/>
    <mergeCell ref="AD169:AD170"/>
    <mergeCell ref="AE169:AE170"/>
    <mergeCell ref="AF169:AF170"/>
    <mergeCell ref="AD171:AD172"/>
    <mergeCell ref="AE171:AE172"/>
    <mergeCell ref="AF171:AF172"/>
    <mergeCell ref="AD173:AD174"/>
    <mergeCell ref="AE173:AE174"/>
    <mergeCell ref="AF173:AF174"/>
    <mergeCell ref="AH163:AH164"/>
    <mergeCell ref="J165:J166"/>
    <mergeCell ref="P165:P166"/>
    <mergeCell ref="V165:V166"/>
    <mergeCell ref="AB165:AB166"/>
    <mergeCell ref="AH165:AH166"/>
    <mergeCell ref="J159:J160"/>
    <mergeCell ref="P159:P160"/>
    <mergeCell ref="V159:V160"/>
    <mergeCell ref="AB159:AB160"/>
    <mergeCell ref="AH159:AH160"/>
    <mergeCell ref="J161:J162"/>
    <mergeCell ref="P161:P162"/>
    <mergeCell ref="V161:V162"/>
    <mergeCell ref="AB161:AB162"/>
    <mergeCell ref="AH161:AH162"/>
    <mergeCell ref="AD159:AD160"/>
    <mergeCell ref="AE159:AE160"/>
    <mergeCell ref="AF159:AF160"/>
    <mergeCell ref="AD161:AD162"/>
    <mergeCell ref="AE161:AE162"/>
    <mergeCell ref="AF161:AF162"/>
    <mergeCell ref="AD163:AD164"/>
    <mergeCell ref="AE163:AE164"/>
    <mergeCell ref="AF163:AF164"/>
    <mergeCell ref="AD165:AD166"/>
    <mergeCell ref="AE165:AE166"/>
    <mergeCell ref="AF165:AF166"/>
    <mergeCell ref="AH155:AH156"/>
    <mergeCell ref="J157:J158"/>
    <mergeCell ref="P157:P158"/>
    <mergeCell ref="V157:V158"/>
    <mergeCell ref="AB157:AB158"/>
    <mergeCell ref="AH157:AH158"/>
    <mergeCell ref="J150:J151"/>
    <mergeCell ref="P150:P151"/>
    <mergeCell ref="V150:V151"/>
    <mergeCell ref="AB150:AB151"/>
    <mergeCell ref="AH150:AH151"/>
    <mergeCell ref="J153:J154"/>
    <mergeCell ref="P153:P154"/>
    <mergeCell ref="V153:V154"/>
    <mergeCell ref="AB153:AB154"/>
    <mergeCell ref="AH153:AH154"/>
    <mergeCell ref="AG150:AG151"/>
    <mergeCell ref="AD153:AD154"/>
    <mergeCell ref="AE153:AE154"/>
    <mergeCell ref="AF153:AF154"/>
    <mergeCell ref="AD155:AD156"/>
    <mergeCell ref="AE155:AE156"/>
    <mergeCell ref="AF155:AF156"/>
    <mergeCell ref="AD157:AD158"/>
    <mergeCell ref="AE157:AE158"/>
    <mergeCell ref="AF157:AF158"/>
    <mergeCell ref="J146:J147"/>
    <mergeCell ref="P146:P147"/>
    <mergeCell ref="V146:V147"/>
    <mergeCell ref="AB146:AB147"/>
    <mergeCell ref="AH146:AH147"/>
    <mergeCell ref="J148:J149"/>
    <mergeCell ref="P148:P149"/>
    <mergeCell ref="V148:V149"/>
    <mergeCell ref="AB148:AB149"/>
    <mergeCell ref="AH148:AH149"/>
    <mergeCell ref="J139:J140"/>
    <mergeCell ref="P139:P140"/>
    <mergeCell ref="V139:V140"/>
    <mergeCell ref="AB139:AB140"/>
    <mergeCell ref="AH139:AH140"/>
    <mergeCell ref="J141:J142"/>
    <mergeCell ref="P141:P142"/>
    <mergeCell ref="V141:V142"/>
    <mergeCell ref="AB141:AB142"/>
    <mergeCell ref="AH141:AH142"/>
    <mergeCell ref="Y139:Y140"/>
    <mergeCell ref="Z139:Z140"/>
    <mergeCell ref="AA139:AA140"/>
    <mergeCell ref="AC139:AC140"/>
    <mergeCell ref="AD139:AD140"/>
    <mergeCell ref="AE139:AE140"/>
    <mergeCell ref="AF139:AF140"/>
    <mergeCell ref="AG139:AG140"/>
    <mergeCell ref="Y141:Y142"/>
    <mergeCell ref="Z141:Z142"/>
    <mergeCell ref="AA141:AA142"/>
    <mergeCell ref="AC141:AC142"/>
    <mergeCell ref="P135:P136"/>
    <mergeCell ref="V135:V136"/>
    <mergeCell ref="AB135:AB136"/>
    <mergeCell ref="AH135:AH136"/>
    <mergeCell ref="J137:J138"/>
    <mergeCell ref="P137:P138"/>
    <mergeCell ref="V137:V138"/>
    <mergeCell ref="AB137:AB138"/>
    <mergeCell ref="AH137:AH138"/>
    <mergeCell ref="J131:J132"/>
    <mergeCell ref="P131:P132"/>
    <mergeCell ref="V131:V132"/>
    <mergeCell ref="AB131:AB132"/>
    <mergeCell ref="AH131:AH132"/>
    <mergeCell ref="J133:J134"/>
    <mergeCell ref="P133:P134"/>
    <mergeCell ref="V133:V134"/>
    <mergeCell ref="AB133:AB134"/>
    <mergeCell ref="AH133:AH134"/>
    <mergeCell ref="Y133:Y134"/>
    <mergeCell ref="Z133:Z134"/>
    <mergeCell ref="AA133:AA134"/>
    <mergeCell ref="AC133:AC134"/>
    <mergeCell ref="AD133:AD134"/>
    <mergeCell ref="AE133:AE134"/>
    <mergeCell ref="AF133:AF134"/>
    <mergeCell ref="AG133:AG134"/>
    <mergeCell ref="Y135:Y136"/>
    <mergeCell ref="Z135:Z136"/>
    <mergeCell ref="AA135:AA136"/>
    <mergeCell ref="AC135:AC136"/>
    <mergeCell ref="AH127:AH128"/>
    <mergeCell ref="J129:J130"/>
    <mergeCell ref="P129:P130"/>
    <mergeCell ref="V129:V130"/>
    <mergeCell ref="AB129:AB130"/>
    <mergeCell ref="AH129:AH130"/>
    <mergeCell ref="J120:J121"/>
    <mergeCell ref="P120:P121"/>
    <mergeCell ref="V120:V121"/>
    <mergeCell ref="AB120:AB121"/>
    <mergeCell ref="AH120:AH121"/>
    <mergeCell ref="J122:J123"/>
    <mergeCell ref="P122:P123"/>
    <mergeCell ref="V122:V123"/>
    <mergeCell ref="AB122:AB123"/>
    <mergeCell ref="AH122:AH123"/>
    <mergeCell ref="J116:J117"/>
    <mergeCell ref="P116:P117"/>
    <mergeCell ref="V116:V117"/>
    <mergeCell ref="AB116:AB117"/>
    <mergeCell ref="AH116:AH117"/>
    <mergeCell ref="J118:J119"/>
    <mergeCell ref="P118:P119"/>
    <mergeCell ref="V118:V119"/>
    <mergeCell ref="AB118:AB119"/>
    <mergeCell ref="AH118:AH119"/>
    <mergeCell ref="K122:K123"/>
    <mergeCell ref="L122:L123"/>
    <mergeCell ref="M122:M123"/>
    <mergeCell ref="N122:N123"/>
    <mergeCell ref="Q120:Q121"/>
    <mergeCell ref="R120:R121"/>
    <mergeCell ref="J112:J113"/>
    <mergeCell ref="P112:P113"/>
    <mergeCell ref="V112:V113"/>
    <mergeCell ref="AB112:AB113"/>
    <mergeCell ref="AH112:AH113"/>
    <mergeCell ref="J114:J115"/>
    <mergeCell ref="P114:P115"/>
    <mergeCell ref="V114:V115"/>
    <mergeCell ref="AB114:AB115"/>
    <mergeCell ref="AH114:AH115"/>
    <mergeCell ref="J106:J107"/>
    <mergeCell ref="P106:P107"/>
    <mergeCell ref="V106:V107"/>
    <mergeCell ref="AB106:AB107"/>
    <mergeCell ref="AH106:AH107"/>
    <mergeCell ref="J110:J111"/>
    <mergeCell ref="P110:P111"/>
    <mergeCell ref="V110:V111"/>
    <mergeCell ref="AB110:AB111"/>
    <mergeCell ref="AH110:AH111"/>
    <mergeCell ref="Q106:Q107"/>
    <mergeCell ref="R106:R107"/>
    <mergeCell ref="S106:S107"/>
    <mergeCell ref="T106:T107"/>
    <mergeCell ref="W106:W107"/>
    <mergeCell ref="X106:X107"/>
    <mergeCell ref="Y106:Y107"/>
    <mergeCell ref="Z106:Z107"/>
    <mergeCell ref="AC106:AC107"/>
    <mergeCell ref="AD106:AD107"/>
    <mergeCell ref="AE106:AE107"/>
    <mergeCell ref="AF106:AF107"/>
    <mergeCell ref="P102:P103"/>
    <mergeCell ref="V102:V103"/>
    <mergeCell ref="AB102:AB103"/>
    <mergeCell ref="AH102:AH103"/>
    <mergeCell ref="J104:J105"/>
    <mergeCell ref="P104:P105"/>
    <mergeCell ref="V104:V105"/>
    <mergeCell ref="AB104:AB105"/>
    <mergeCell ref="AH104:AH105"/>
    <mergeCell ref="D100:D101"/>
    <mergeCell ref="J100:J101"/>
    <mergeCell ref="P100:P101"/>
    <mergeCell ref="V100:V101"/>
    <mergeCell ref="AB100:AB101"/>
    <mergeCell ref="AH100:AH101"/>
    <mergeCell ref="M100:M101"/>
    <mergeCell ref="N100:N101"/>
    <mergeCell ref="S100:S101"/>
    <mergeCell ref="T100:T101"/>
    <mergeCell ref="E104:E105"/>
    <mergeCell ref="F104:F105"/>
    <mergeCell ref="G104:G105"/>
    <mergeCell ref="H104:H105"/>
    <mergeCell ref="Q104:Q105"/>
    <mergeCell ref="R104:R105"/>
    <mergeCell ref="S104:S105"/>
    <mergeCell ref="T104:T105"/>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K93:K94"/>
    <mergeCell ref="L93:L94"/>
    <mergeCell ref="M93:M94"/>
    <mergeCell ref="N93:N94"/>
    <mergeCell ref="Q93:Q94"/>
    <mergeCell ref="R93:R94"/>
    <mergeCell ref="S93:S94"/>
    <mergeCell ref="T93:T94"/>
    <mergeCell ref="W93:W94"/>
    <mergeCell ref="X93:X94"/>
    <mergeCell ref="Y93:Y94"/>
    <mergeCell ref="Z93:Z94"/>
    <mergeCell ref="J89:J90"/>
    <mergeCell ref="P89:P90"/>
    <mergeCell ref="V89:V90"/>
    <mergeCell ref="AB89:AB90"/>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Q89:Q90"/>
    <mergeCell ref="R89:R90"/>
    <mergeCell ref="S89:S90"/>
    <mergeCell ref="T89:T90"/>
    <mergeCell ref="Q91:Q92"/>
    <mergeCell ref="R91:R92"/>
    <mergeCell ref="S91:S92"/>
    <mergeCell ref="T91:T92"/>
    <mergeCell ref="AH78:AH79"/>
    <mergeCell ref="J83:J84"/>
    <mergeCell ref="P83:P84"/>
    <mergeCell ref="V83:V84"/>
    <mergeCell ref="AB83:AB84"/>
    <mergeCell ref="AH83:AH84"/>
    <mergeCell ref="D74:D75"/>
    <mergeCell ref="J74:J75"/>
    <mergeCell ref="P74:P75"/>
    <mergeCell ref="V74:V75"/>
    <mergeCell ref="AB74:AB75"/>
    <mergeCell ref="AH74:AH75"/>
    <mergeCell ref="W74:W75"/>
    <mergeCell ref="X74:X75"/>
    <mergeCell ref="Y74:Y75"/>
    <mergeCell ref="Z74:Z75"/>
    <mergeCell ref="E74:E75"/>
    <mergeCell ref="F74:F75"/>
    <mergeCell ref="G74:G75"/>
    <mergeCell ref="H74:H75"/>
    <mergeCell ref="M74:M75"/>
    <mergeCell ref="N74:N75"/>
    <mergeCell ref="E78:E79"/>
    <mergeCell ref="F78:F79"/>
    <mergeCell ref="G78:G79"/>
    <mergeCell ref="H78:H79"/>
    <mergeCell ref="K74:K75"/>
    <mergeCell ref="L74:L75"/>
    <mergeCell ref="K78:K79"/>
    <mergeCell ref="D71:D72"/>
    <mergeCell ref="J71:J72"/>
    <mergeCell ref="P71:P72"/>
    <mergeCell ref="V71:V72"/>
    <mergeCell ref="AB71:AB72"/>
    <mergeCell ref="AH71:AH72"/>
    <mergeCell ref="E71:E72"/>
    <mergeCell ref="F71:F72"/>
    <mergeCell ref="G71:G72"/>
    <mergeCell ref="H71:H72"/>
    <mergeCell ref="D69:D70"/>
    <mergeCell ref="J69:J70"/>
    <mergeCell ref="P69:P70"/>
    <mergeCell ref="V69:V70"/>
    <mergeCell ref="AB69:AB70"/>
    <mergeCell ref="AH69:AH70"/>
    <mergeCell ref="E69:E70"/>
    <mergeCell ref="F69:F70"/>
    <mergeCell ref="G69:G70"/>
    <mergeCell ref="H69:H70"/>
    <mergeCell ref="K69:K70"/>
    <mergeCell ref="L69:L70"/>
    <mergeCell ref="M69:M70"/>
    <mergeCell ref="N69:N70"/>
    <mergeCell ref="K71:K72"/>
    <mergeCell ref="L71:L72"/>
    <mergeCell ref="M71:M72"/>
    <mergeCell ref="N71:N72"/>
    <mergeCell ref="W69:W70"/>
    <mergeCell ref="X69:X70"/>
    <mergeCell ref="Y69:Y70"/>
    <mergeCell ref="Z69:Z70"/>
    <mergeCell ref="D67:D68"/>
    <mergeCell ref="J67:J68"/>
    <mergeCell ref="P67:P68"/>
    <mergeCell ref="V67:V68"/>
    <mergeCell ref="AB67:AB68"/>
    <mergeCell ref="AH67:AH68"/>
    <mergeCell ref="E67:E68"/>
    <mergeCell ref="F67:F68"/>
    <mergeCell ref="G67:G68"/>
    <mergeCell ref="H67:H68"/>
    <mergeCell ref="D65:D66"/>
    <mergeCell ref="J65:J66"/>
    <mergeCell ref="P65:P66"/>
    <mergeCell ref="V65:V66"/>
    <mergeCell ref="AB65:AB66"/>
    <mergeCell ref="AH65:AH66"/>
    <mergeCell ref="E65:E66"/>
    <mergeCell ref="F65:F66"/>
    <mergeCell ref="G65:G66"/>
    <mergeCell ref="H65:H66"/>
    <mergeCell ref="K65:K66"/>
    <mergeCell ref="L65:L66"/>
    <mergeCell ref="M65:M66"/>
    <mergeCell ref="N65:N66"/>
    <mergeCell ref="K67:K68"/>
    <mergeCell ref="L67:L68"/>
    <mergeCell ref="M67:M68"/>
    <mergeCell ref="N67:N68"/>
    <mergeCell ref="D63:D64"/>
    <mergeCell ref="J63:J64"/>
    <mergeCell ref="P63:P64"/>
    <mergeCell ref="V63:V64"/>
    <mergeCell ref="AB63:AB64"/>
    <mergeCell ref="AH63:AH64"/>
    <mergeCell ref="K63:K64"/>
    <mergeCell ref="L63:L64"/>
    <mergeCell ref="M63:M64"/>
    <mergeCell ref="N63:N64"/>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E63:E64"/>
    <mergeCell ref="F63:F64"/>
    <mergeCell ref="G63:G64"/>
    <mergeCell ref="H63:H64"/>
    <mergeCell ref="T61:T62"/>
    <mergeCell ref="Q63:Q64"/>
    <mergeCell ref="R63:R64"/>
    <mergeCell ref="S63:S64"/>
    <mergeCell ref="AH54:AH55"/>
    <mergeCell ref="D56:D57"/>
    <mergeCell ref="I56:I57"/>
    <mergeCell ref="J56:J57"/>
    <mergeCell ref="P56:P57"/>
    <mergeCell ref="V56:V57"/>
    <mergeCell ref="AB56:AB57"/>
    <mergeCell ref="AH56:AH57"/>
    <mergeCell ref="D54:D55"/>
    <mergeCell ref="I54:I55"/>
    <mergeCell ref="J54:J55"/>
    <mergeCell ref="P54:P55"/>
    <mergeCell ref="V54:V55"/>
    <mergeCell ref="AB54:AB55"/>
    <mergeCell ref="E54:E55"/>
    <mergeCell ref="F54:F55"/>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G54:G55"/>
    <mergeCell ref="H54:H55"/>
    <mergeCell ref="AH46:AH47"/>
    <mergeCell ref="D48:D49"/>
    <mergeCell ref="I48:I49"/>
    <mergeCell ref="J48:J49"/>
    <mergeCell ref="P48:P49"/>
    <mergeCell ref="V48:V49"/>
    <mergeCell ref="AB48:AB49"/>
    <mergeCell ref="AH48:AH49"/>
    <mergeCell ref="D46:D47"/>
    <mergeCell ref="I46:I47"/>
    <mergeCell ref="J46:J47"/>
    <mergeCell ref="P46:P47"/>
    <mergeCell ref="V46:V47"/>
    <mergeCell ref="AB46:AB47"/>
    <mergeCell ref="E46:E47"/>
    <mergeCell ref="F46:F47"/>
    <mergeCell ref="AH42:AH43"/>
    <mergeCell ref="D44:D45"/>
    <mergeCell ref="I44:I45"/>
    <mergeCell ref="J44:J45"/>
    <mergeCell ref="P44:P45"/>
    <mergeCell ref="V44:V45"/>
    <mergeCell ref="AB44:AB45"/>
    <mergeCell ref="AH44:AH45"/>
    <mergeCell ref="D42:D43"/>
    <mergeCell ref="I42:I43"/>
    <mergeCell ref="J42:J43"/>
    <mergeCell ref="P42:P43"/>
    <mergeCell ref="V42:V43"/>
    <mergeCell ref="AB42:AB43"/>
    <mergeCell ref="AH37:AH38"/>
    <mergeCell ref="D40:D41"/>
    <mergeCell ref="I40:I41"/>
    <mergeCell ref="J40:J41"/>
    <mergeCell ref="P40:P41"/>
    <mergeCell ref="V40:V41"/>
    <mergeCell ref="AH35:AH36"/>
    <mergeCell ref="AB40:AB41"/>
    <mergeCell ref="AH40:AH41"/>
    <mergeCell ref="D37:D38"/>
    <mergeCell ref="J37:J38"/>
    <mergeCell ref="O37:O38"/>
    <mergeCell ref="P37:P38"/>
    <mergeCell ref="V37:V38"/>
    <mergeCell ref="AB37:AB38"/>
    <mergeCell ref="D35:D36"/>
    <mergeCell ref="I35:I36"/>
    <mergeCell ref="J35:J36"/>
    <mergeCell ref="O35:O36"/>
    <mergeCell ref="P35:P36"/>
    <mergeCell ref="V35:V36"/>
    <mergeCell ref="N35:N36"/>
    <mergeCell ref="Q35:Q36"/>
    <mergeCell ref="R35:R36"/>
    <mergeCell ref="S35:S36"/>
    <mergeCell ref="E37:E38"/>
    <mergeCell ref="F37:F38"/>
    <mergeCell ref="G37:G38"/>
    <mergeCell ref="H37:H38"/>
    <mergeCell ref="I37:I38"/>
    <mergeCell ref="K37:K38"/>
    <mergeCell ref="L37:L38"/>
    <mergeCell ref="AH31:AH32"/>
    <mergeCell ref="D33:D34"/>
    <mergeCell ref="I33:I34"/>
    <mergeCell ref="J33:J34"/>
    <mergeCell ref="O33:O34"/>
    <mergeCell ref="P33:P34"/>
    <mergeCell ref="V33:V34"/>
    <mergeCell ref="AB33:AB34"/>
    <mergeCell ref="AH33:AH34"/>
    <mergeCell ref="D31:D32"/>
    <mergeCell ref="I31:I32"/>
    <mergeCell ref="J31:J32"/>
    <mergeCell ref="O31:O32"/>
    <mergeCell ref="P31:P32"/>
    <mergeCell ref="V31:V32"/>
    <mergeCell ref="L31:L32"/>
    <mergeCell ref="M31:M32"/>
    <mergeCell ref="N31:N32"/>
    <mergeCell ref="Q31:Q32"/>
    <mergeCell ref="E33:E34"/>
    <mergeCell ref="F33:F34"/>
    <mergeCell ref="G33:G34"/>
    <mergeCell ref="H33:H34"/>
    <mergeCell ref="K33:K34"/>
    <mergeCell ref="L33:L34"/>
    <mergeCell ref="M33:M34"/>
    <mergeCell ref="N33:N34"/>
    <mergeCell ref="Q33:Q34"/>
    <mergeCell ref="R33:R34"/>
    <mergeCell ref="S33:S34"/>
    <mergeCell ref="T33:T34"/>
    <mergeCell ref="U33:U34"/>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N27:N28"/>
    <mergeCell ref="Q27:Q28"/>
    <mergeCell ref="R27:R28"/>
    <mergeCell ref="S27:S28"/>
    <mergeCell ref="E29:E30"/>
    <mergeCell ref="F29:F30"/>
    <mergeCell ref="G29:G30"/>
    <mergeCell ref="H29:H30"/>
    <mergeCell ref="K29:K30"/>
    <mergeCell ref="L29:L30"/>
    <mergeCell ref="M29:M30"/>
    <mergeCell ref="N29:N30"/>
    <mergeCell ref="Q29:Q30"/>
    <mergeCell ref="R29:R30"/>
    <mergeCell ref="S29:S30"/>
    <mergeCell ref="T29:T30"/>
    <mergeCell ref="U29:U30"/>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L23:L24"/>
    <mergeCell ref="M23:M24"/>
    <mergeCell ref="N23:N24"/>
    <mergeCell ref="Q23:Q24"/>
    <mergeCell ref="E25:E26"/>
    <mergeCell ref="F25:F26"/>
    <mergeCell ref="G25:G26"/>
    <mergeCell ref="H25:H26"/>
    <mergeCell ref="K25:K26"/>
    <mergeCell ref="L25:L26"/>
    <mergeCell ref="M25:M26"/>
    <mergeCell ref="N25:N26"/>
    <mergeCell ref="Q25:Q26"/>
    <mergeCell ref="R25:R26"/>
    <mergeCell ref="S25:S26"/>
    <mergeCell ref="T25:T26"/>
    <mergeCell ref="U25:U26"/>
    <mergeCell ref="AH19:AH20"/>
    <mergeCell ref="D21:D22"/>
    <mergeCell ref="I21:I22"/>
    <mergeCell ref="J21:J22"/>
    <mergeCell ref="O21:O22"/>
    <mergeCell ref="P21:P22"/>
    <mergeCell ref="V21:V22"/>
    <mergeCell ref="AB21:AB22"/>
    <mergeCell ref="AH21:AH22"/>
    <mergeCell ref="E19:E20"/>
    <mergeCell ref="D19:D20"/>
    <mergeCell ref="I19:I20"/>
    <mergeCell ref="J19:J20"/>
    <mergeCell ref="O19:O20"/>
    <mergeCell ref="P19:P20"/>
    <mergeCell ref="V19:V20"/>
    <mergeCell ref="AB15:AB16"/>
    <mergeCell ref="AH15:AH16"/>
    <mergeCell ref="D17:D18"/>
    <mergeCell ref="I17:I18"/>
    <mergeCell ref="J17:J18"/>
    <mergeCell ref="O17:O18"/>
    <mergeCell ref="P17:P18"/>
    <mergeCell ref="V17:V18"/>
    <mergeCell ref="AB17:AB18"/>
    <mergeCell ref="AH17:AH18"/>
    <mergeCell ref="Q17:Q18"/>
    <mergeCell ref="R17:R18"/>
    <mergeCell ref="S17:S18"/>
    <mergeCell ref="T17:T18"/>
    <mergeCell ref="U17:U18"/>
    <mergeCell ref="W17:W18"/>
    <mergeCell ref="AC10:AG10"/>
    <mergeCell ref="E11:J11"/>
    <mergeCell ref="K11:O11"/>
    <mergeCell ref="Q11:U11"/>
    <mergeCell ref="W11:AA11"/>
    <mergeCell ref="AC11:AG11"/>
    <mergeCell ref="C157:C158"/>
    <mergeCell ref="C159:C160"/>
    <mergeCell ref="Y5:Y6"/>
    <mergeCell ref="E10:I10"/>
    <mergeCell ref="K10:P10"/>
    <mergeCell ref="Q10:V10"/>
    <mergeCell ref="W10:AA10"/>
    <mergeCell ref="D15:D16"/>
    <mergeCell ref="I15:I16"/>
    <mergeCell ref="J15:J16"/>
    <mergeCell ref="B96:B101"/>
    <mergeCell ref="C89:C90"/>
    <mergeCell ref="C40:C41"/>
    <mergeCell ref="C44:C45"/>
    <mergeCell ref="B46:B51"/>
    <mergeCell ref="D78:D79"/>
    <mergeCell ref="D83:D84"/>
    <mergeCell ref="D85:D86"/>
    <mergeCell ref="D87:D88"/>
    <mergeCell ref="D89:D90"/>
    <mergeCell ref="D91:D92"/>
    <mergeCell ref="D93:D94"/>
    <mergeCell ref="D102:D103"/>
    <mergeCell ref="D104:D105"/>
    <mergeCell ref="D106:D107"/>
    <mergeCell ref="D110:D111"/>
    <mergeCell ref="C187:C188"/>
    <mergeCell ref="C141:C142"/>
    <mergeCell ref="C181:C182"/>
    <mergeCell ref="B171:B176"/>
    <mergeCell ref="B183:B188"/>
    <mergeCell ref="C173:C174"/>
    <mergeCell ref="B95:C95"/>
    <mergeCell ref="B69:C70"/>
    <mergeCell ref="C133:C134"/>
    <mergeCell ref="C137:C138"/>
    <mergeCell ref="C175:C176"/>
    <mergeCell ref="C125:C126"/>
    <mergeCell ref="C127:C128"/>
    <mergeCell ref="B109:C109"/>
    <mergeCell ref="C122:C123"/>
    <mergeCell ref="C116:C117"/>
    <mergeCell ref="C118:C119"/>
    <mergeCell ref="C114:C115"/>
    <mergeCell ref="B112:B117"/>
    <mergeCell ref="C102:C103"/>
    <mergeCell ref="C104:C105"/>
    <mergeCell ref="C106:C107"/>
    <mergeCell ref="C96:C97"/>
    <mergeCell ref="C112:C113"/>
    <mergeCell ref="A15:A38"/>
    <mergeCell ref="B33:B38"/>
    <mergeCell ref="C33:C34"/>
    <mergeCell ref="C35:C36"/>
    <mergeCell ref="C37:C38"/>
    <mergeCell ref="C29:C30"/>
    <mergeCell ref="C31:C32"/>
    <mergeCell ref="C17:C18"/>
    <mergeCell ref="C21:C22"/>
    <mergeCell ref="C23:C24"/>
    <mergeCell ref="C19:C20"/>
    <mergeCell ref="C25:C26"/>
    <mergeCell ref="C27:C28"/>
    <mergeCell ref="C185:C186"/>
    <mergeCell ref="B225:C225"/>
    <mergeCell ref="A4:C4"/>
    <mergeCell ref="A7:C7"/>
    <mergeCell ref="B10:B12"/>
    <mergeCell ref="C10:C12"/>
    <mergeCell ref="B27:B32"/>
    <mergeCell ref="B21:B26"/>
    <mergeCell ref="B15:B20"/>
    <mergeCell ref="C15:C16"/>
    <mergeCell ref="C50:C51"/>
    <mergeCell ref="B67:C68"/>
    <mergeCell ref="A40:A57"/>
    <mergeCell ref="B40:B45"/>
    <mergeCell ref="C42:C43"/>
    <mergeCell ref="C120:C121"/>
    <mergeCell ref="B110:C111"/>
    <mergeCell ref="B118:B123"/>
    <mergeCell ref="B83:B88"/>
    <mergeCell ref="A109:A123"/>
    <mergeCell ref="C93:C94"/>
    <mergeCell ref="B89:B94"/>
    <mergeCell ref="B159:B164"/>
    <mergeCell ref="C87:C88"/>
    <mergeCell ref="A74:A79"/>
    <mergeCell ref="B74:C75"/>
    <mergeCell ref="B76:C76"/>
    <mergeCell ref="B77:C77"/>
    <mergeCell ref="B78:C79"/>
    <mergeCell ref="B153:B158"/>
    <mergeCell ref="C46:C47"/>
    <mergeCell ref="C48:C49"/>
    <mergeCell ref="B61:C62"/>
    <mergeCell ref="C129:C130"/>
    <mergeCell ref="C98:C99"/>
    <mergeCell ref="B125:B130"/>
    <mergeCell ref="C83:C84"/>
    <mergeCell ref="C85:C86"/>
    <mergeCell ref="B71:C72"/>
    <mergeCell ref="C91:C92"/>
    <mergeCell ref="A82:A107"/>
    <mergeCell ref="C54:C55"/>
    <mergeCell ref="C56:C57"/>
    <mergeCell ref="C100:C101"/>
    <mergeCell ref="B65:C66"/>
    <mergeCell ref="B52:B57"/>
    <mergeCell ref="C52:C53"/>
    <mergeCell ref="B59:C60"/>
    <mergeCell ref="A59:A72"/>
    <mergeCell ref="B63:C64"/>
    <mergeCell ref="B102:B107"/>
    <mergeCell ref="B192:C193"/>
    <mergeCell ref="B152:C152"/>
    <mergeCell ref="C202:C203"/>
    <mergeCell ref="C206:C207"/>
    <mergeCell ref="C204:C205"/>
    <mergeCell ref="C169:C170"/>
    <mergeCell ref="C161:C162"/>
    <mergeCell ref="B177:B182"/>
    <mergeCell ref="C171:C172"/>
    <mergeCell ref="C167:C168"/>
    <mergeCell ref="A190:A193"/>
    <mergeCell ref="C139:C140"/>
    <mergeCell ref="B143:B145"/>
    <mergeCell ref="C177:C178"/>
    <mergeCell ref="C179:C180"/>
    <mergeCell ref="C183:C184"/>
    <mergeCell ref="A153:A188"/>
    <mergeCell ref="C165:C166"/>
    <mergeCell ref="C150:C151"/>
    <mergeCell ref="A125:A151"/>
    <mergeCell ref="B131:B136"/>
    <mergeCell ref="B146:B151"/>
    <mergeCell ref="C148:C149"/>
    <mergeCell ref="C131:C132"/>
    <mergeCell ref="C155:C156"/>
    <mergeCell ref="C153:C154"/>
    <mergeCell ref="C146:C147"/>
    <mergeCell ref="B190:C191"/>
    <mergeCell ref="C135:C136"/>
    <mergeCell ref="B137:B142"/>
    <mergeCell ref="C163:C164"/>
    <mergeCell ref="B165:B170"/>
    <mergeCell ref="A213:A218"/>
    <mergeCell ref="B213:C214"/>
    <mergeCell ref="B215:C216"/>
    <mergeCell ref="B217:C218"/>
    <mergeCell ref="B230:C231"/>
    <mergeCell ref="A196:A211"/>
    <mergeCell ref="B196:C197"/>
    <mergeCell ref="B198:C199"/>
    <mergeCell ref="B200:C201"/>
    <mergeCell ref="B202:B207"/>
    <mergeCell ref="A226:A235"/>
    <mergeCell ref="A222:A223"/>
    <mergeCell ref="B222:B223"/>
    <mergeCell ref="C222:C223"/>
    <mergeCell ref="A237:A254"/>
    <mergeCell ref="B237:B242"/>
    <mergeCell ref="C241:C242"/>
    <mergeCell ref="C253:C254"/>
    <mergeCell ref="B232:C233"/>
    <mergeCell ref="B234:C235"/>
    <mergeCell ref="B243:B248"/>
    <mergeCell ref="C251:C252"/>
    <mergeCell ref="C243:C244"/>
    <mergeCell ref="C245:C246"/>
    <mergeCell ref="C249:C250"/>
    <mergeCell ref="B249:B254"/>
    <mergeCell ref="C247:C248"/>
    <mergeCell ref="B226:C227"/>
    <mergeCell ref="B228:C229"/>
    <mergeCell ref="B208:C209"/>
    <mergeCell ref="B210:C211"/>
    <mergeCell ref="C239:C240"/>
    <mergeCell ref="D112:D113"/>
    <mergeCell ref="D114:D115"/>
    <mergeCell ref="D116:D117"/>
    <mergeCell ref="D118:D119"/>
    <mergeCell ref="D120:D121"/>
    <mergeCell ref="D122:D123"/>
    <mergeCell ref="D125:D126"/>
    <mergeCell ref="D127:D128"/>
    <mergeCell ref="D129:D130"/>
    <mergeCell ref="D131:D132"/>
    <mergeCell ref="D155:D156"/>
    <mergeCell ref="D157:D158"/>
    <mergeCell ref="D159:D160"/>
    <mergeCell ref="D133:D134"/>
    <mergeCell ref="D135:D136"/>
    <mergeCell ref="D137:D138"/>
    <mergeCell ref="D139:D140"/>
    <mergeCell ref="D141:D142"/>
    <mergeCell ref="D146:D147"/>
    <mergeCell ref="D249:D250"/>
    <mergeCell ref="D183:D184"/>
    <mergeCell ref="D185:D186"/>
    <mergeCell ref="D187:D188"/>
    <mergeCell ref="D190:D191"/>
    <mergeCell ref="D161:D162"/>
    <mergeCell ref="D163:D164"/>
    <mergeCell ref="D165:D166"/>
    <mergeCell ref="D167:D168"/>
    <mergeCell ref="D169:D170"/>
    <mergeCell ref="D239:D240"/>
    <mergeCell ref="D206:D207"/>
    <mergeCell ref="D210:D211"/>
    <mergeCell ref="D215:D216"/>
    <mergeCell ref="D173:D174"/>
    <mergeCell ref="D175:D176"/>
    <mergeCell ref="D177:D178"/>
    <mergeCell ref="D179:D180"/>
    <mergeCell ref="D181:D182"/>
    <mergeCell ref="B212:AH212"/>
    <mergeCell ref="E237:E238"/>
    <mergeCell ref="F237:F238"/>
    <mergeCell ref="G237:G238"/>
    <mergeCell ref="H237:H238"/>
    <mergeCell ref="E239:E240"/>
    <mergeCell ref="F239:F240"/>
    <mergeCell ref="G239:G240"/>
    <mergeCell ref="H239:H240"/>
    <mergeCell ref="E241:E242"/>
    <mergeCell ref="F241:F242"/>
    <mergeCell ref="G241:G242"/>
    <mergeCell ref="H241:H242"/>
    <mergeCell ref="A5:B5"/>
    <mergeCell ref="A6:B6"/>
    <mergeCell ref="D198:D199"/>
    <mergeCell ref="D208:D209"/>
    <mergeCell ref="A8:P8"/>
    <mergeCell ref="D192:D193"/>
    <mergeCell ref="D171:D172"/>
    <mergeCell ref="D148:D149"/>
    <mergeCell ref="D150:D151"/>
    <mergeCell ref="D153:D154"/>
    <mergeCell ref="B81:AH81"/>
    <mergeCell ref="B80:AH80"/>
    <mergeCell ref="B73:AH73"/>
    <mergeCell ref="D253:D254"/>
    <mergeCell ref="D241:D242"/>
    <mergeCell ref="D243:D244"/>
    <mergeCell ref="D245:D246"/>
    <mergeCell ref="D247:D248"/>
    <mergeCell ref="D237:D238"/>
    <mergeCell ref="D251:D252"/>
    <mergeCell ref="B58:AH58"/>
    <mergeCell ref="B39:AH39"/>
    <mergeCell ref="B236:AH236"/>
    <mergeCell ref="AG15:AG16"/>
    <mergeCell ref="E17:E18"/>
    <mergeCell ref="F17:F18"/>
    <mergeCell ref="G17:G18"/>
    <mergeCell ref="H17:H18"/>
    <mergeCell ref="K17:K18"/>
    <mergeCell ref="L17:L18"/>
    <mergeCell ref="M17:M18"/>
    <mergeCell ref="N17:N18"/>
    <mergeCell ref="A2:O2"/>
    <mergeCell ref="A3:O3"/>
    <mergeCell ref="B195:AH195"/>
    <mergeCell ref="B194:AH194"/>
    <mergeCell ref="B189:AH189"/>
    <mergeCell ref="B124:AH124"/>
    <mergeCell ref="B108:AH108"/>
    <mergeCell ref="E15:E16"/>
    <mergeCell ref="F15:F16"/>
    <mergeCell ref="G15:G16"/>
    <mergeCell ref="H15:H16"/>
    <mergeCell ref="K15:K16"/>
    <mergeCell ref="L15:L16"/>
    <mergeCell ref="M15:M16"/>
    <mergeCell ref="N15:N16"/>
    <mergeCell ref="Q15:Q16"/>
    <mergeCell ref="R15:R16"/>
    <mergeCell ref="S15:S16"/>
    <mergeCell ref="T15:T16"/>
    <mergeCell ref="O15:O16"/>
    <mergeCell ref="P15:P16"/>
    <mergeCell ref="U15:U16"/>
    <mergeCell ref="W15:W16"/>
    <mergeCell ref="X15:X16"/>
    <mergeCell ref="Y15:Y16"/>
    <mergeCell ref="Z15:Z16"/>
    <mergeCell ref="AA15:AA16"/>
    <mergeCell ref="V15:V16"/>
    <mergeCell ref="AC15:AC16"/>
    <mergeCell ref="AD15:AD16"/>
    <mergeCell ref="AE15:AE16"/>
    <mergeCell ref="AF15:AF16"/>
    <mergeCell ref="AE17:AE18"/>
    <mergeCell ref="AF17:AF18"/>
    <mergeCell ref="AG17:AG18"/>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B19:AB20"/>
    <mergeCell ref="AD19:AD20"/>
    <mergeCell ref="AE19:AE20"/>
    <mergeCell ref="AF19:AF20"/>
    <mergeCell ref="AG19:AG20"/>
    <mergeCell ref="M21:M22"/>
    <mergeCell ref="N21:N22"/>
    <mergeCell ref="Q21:Q22"/>
    <mergeCell ref="R21:R22"/>
    <mergeCell ref="S21:S22"/>
    <mergeCell ref="T21:T22"/>
    <mergeCell ref="U21:U22"/>
    <mergeCell ref="W21:W22"/>
    <mergeCell ref="X21:X22"/>
    <mergeCell ref="Y21:Y22"/>
    <mergeCell ref="Z21:Z22"/>
    <mergeCell ref="X17:X18"/>
    <mergeCell ref="Y17:Y18"/>
    <mergeCell ref="Z17:Z18"/>
    <mergeCell ref="AA17:AA18"/>
    <mergeCell ref="AC17:AC18"/>
    <mergeCell ref="AD17:AD18"/>
    <mergeCell ref="AA21:AA22"/>
    <mergeCell ref="AC21:AC22"/>
    <mergeCell ref="AD21:AD22"/>
    <mergeCell ref="AE21:AE22"/>
    <mergeCell ref="AF21:AF22"/>
    <mergeCell ref="AG21:AG22"/>
    <mergeCell ref="E23:E24"/>
    <mergeCell ref="F23:F24"/>
    <mergeCell ref="G23:G24"/>
    <mergeCell ref="H23:H24"/>
    <mergeCell ref="K23:K24"/>
    <mergeCell ref="R23:R24"/>
    <mergeCell ref="S23:S24"/>
    <mergeCell ref="T23:T24"/>
    <mergeCell ref="U23:U24"/>
    <mergeCell ref="W23:W24"/>
    <mergeCell ref="X23:X24"/>
    <mergeCell ref="Y23:Y24"/>
    <mergeCell ref="Z23:Z24"/>
    <mergeCell ref="AA23:AA24"/>
    <mergeCell ref="AC23:AC24"/>
    <mergeCell ref="AD23:AD24"/>
    <mergeCell ref="AE23:AE24"/>
    <mergeCell ref="AB23:AB24"/>
    <mergeCell ref="AF23:AF24"/>
    <mergeCell ref="AG23:AG24"/>
    <mergeCell ref="E21:E22"/>
    <mergeCell ref="F21:F22"/>
    <mergeCell ref="G21:G22"/>
    <mergeCell ref="H21:H22"/>
    <mergeCell ref="K21:K22"/>
    <mergeCell ref="L21:L22"/>
    <mergeCell ref="W25:W26"/>
    <mergeCell ref="X25:X26"/>
    <mergeCell ref="Y25:Y26"/>
    <mergeCell ref="Z25:Z26"/>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T27:T28"/>
    <mergeCell ref="U27:U28"/>
    <mergeCell ref="W27:W28"/>
    <mergeCell ref="X27:X28"/>
    <mergeCell ref="Y27:Y28"/>
    <mergeCell ref="Z27:Z28"/>
    <mergeCell ref="AA27:AA28"/>
    <mergeCell ref="AC27:AC28"/>
    <mergeCell ref="AD27:AD28"/>
    <mergeCell ref="AE27:AE28"/>
    <mergeCell ref="AF27:AF28"/>
    <mergeCell ref="AG27:AG28"/>
    <mergeCell ref="AB27:AB28"/>
    <mergeCell ref="W29:W30"/>
    <mergeCell ref="X29:X30"/>
    <mergeCell ref="Y29:Y30"/>
    <mergeCell ref="Z29:Z30"/>
    <mergeCell ref="AA29:AA30"/>
    <mergeCell ref="AC29:AC30"/>
    <mergeCell ref="AD29:AD30"/>
    <mergeCell ref="AE29:AE30"/>
    <mergeCell ref="AF29:AF30"/>
    <mergeCell ref="AG29:AG30"/>
    <mergeCell ref="E31:E32"/>
    <mergeCell ref="F31:F32"/>
    <mergeCell ref="G31:G32"/>
    <mergeCell ref="H31:H32"/>
    <mergeCell ref="K31:K32"/>
    <mergeCell ref="R31:R32"/>
    <mergeCell ref="S31:S32"/>
    <mergeCell ref="T31:T32"/>
    <mergeCell ref="U31:U32"/>
    <mergeCell ref="W31:W32"/>
    <mergeCell ref="X31:X32"/>
    <mergeCell ref="Y31:Y32"/>
    <mergeCell ref="Z31:Z32"/>
    <mergeCell ref="AA31:AA32"/>
    <mergeCell ref="AC31:AC32"/>
    <mergeCell ref="AD31:AD32"/>
    <mergeCell ref="AE31:AE32"/>
    <mergeCell ref="AB31:AB32"/>
    <mergeCell ref="AF31:AF32"/>
    <mergeCell ref="AG31:AG32"/>
    <mergeCell ref="W33:W34"/>
    <mergeCell ref="X33:X34"/>
    <mergeCell ref="Y33:Y34"/>
    <mergeCell ref="Z33:Z34"/>
    <mergeCell ref="AA33:AA34"/>
    <mergeCell ref="AC33:AC34"/>
    <mergeCell ref="AD33:AD34"/>
    <mergeCell ref="AE33:AE34"/>
    <mergeCell ref="AF33:AF34"/>
    <mergeCell ref="AG33:AG34"/>
    <mergeCell ref="E35:E36"/>
    <mergeCell ref="F35:F36"/>
    <mergeCell ref="G35:G36"/>
    <mergeCell ref="H35:H36"/>
    <mergeCell ref="K35:K36"/>
    <mergeCell ref="L35:L36"/>
    <mergeCell ref="M35:M36"/>
    <mergeCell ref="T35:T36"/>
    <mergeCell ref="U35:U36"/>
    <mergeCell ref="W35:W36"/>
    <mergeCell ref="X35:X36"/>
    <mergeCell ref="Y35:Y36"/>
    <mergeCell ref="Z35:Z36"/>
    <mergeCell ref="AA35:AA36"/>
    <mergeCell ref="AC35:AC36"/>
    <mergeCell ref="AD35:AD36"/>
    <mergeCell ref="AE35:AE36"/>
    <mergeCell ref="AF35:AF36"/>
    <mergeCell ref="AG35:AG36"/>
    <mergeCell ref="AB35:AB36"/>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K247:K248"/>
    <mergeCell ref="L247:L248"/>
    <mergeCell ref="M247:M248"/>
    <mergeCell ref="N247:N248"/>
    <mergeCell ref="K251:K252"/>
    <mergeCell ref="L251:L252"/>
    <mergeCell ref="M251:M252"/>
    <mergeCell ref="N251:N252"/>
    <mergeCell ref="K253:K254"/>
    <mergeCell ref="L253:L254"/>
    <mergeCell ref="M253:M254"/>
    <mergeCell ref="N253:N254"/>
    <mergeCell ref="E243:E244"/>
    <mergeCell ref="F243:F244"/>
    <mergeCell ref="G243:G244"/>
    <mergeCell ref="H243:H244"/>
    <mergeCell ref="E245:E246"/>
    <mergeCell ref="F245:F246"/>
    <mergeCell ref="G245:G246"/>
    <mergeCell ref="H245:H246"/>
    <mergeCell ref="E247:E248"/>
    <mergeCell ref="F247:F248"/>
    <mergeCell ref="G247:G248"/>
    <mergeCell ref="H247:H248"/>
    <mergeCell ref="E249:E250"/>
    <mergeCell ref="F249:F250"/>
    <mergeCell ref="G249:G250"/>
    <mergeCell ref="H249:H250"/>
    <mergeCell ref="E251:E252"/>
    <mergeCell ref="F251:F252"/>
    <mergeCell ref="G251:G252"/>
    <mergeCell ref="H251:H252"/>
    <mergeCell ref="Q249:Q250"/>
    <mergeCell ref="R249:R250"/>
    <mergeCell ref="S249:S250"/>
    <mergeCell ref="T249:T250"/>
    <mergeCell ref="Q251:Q252"/>
    <mergeCell ref="R251:R252"/>
    <mergeCell ref="S251:S252"/>
    <mergeCell ref="T251:T252"/>
    <mergeCell ref="Q253:Q254"/>
    <mergeCell ref="R253:R254"/>
    <mergeCell ref="S253:S254"/>
    <mergeCell ref="T253:T254"/>
    <mergeCell ref="E253:E254"/>
    <mergeCell ref="F253:F254"/>
    <mergeCell ref="G253:G254"/>
    <mergeCell ref="H253:H254"/>
    <mergeCell ref="K237:K238"/>
    <mergeCell ref="L237:L238"/>
    <mergeCell ref="K239:K240"/>
    <mergeCell ref="L239:L240"/>
    <mergeCell ref="K241:K242"/>
    <mergeCell ref="L241:L242"/>
    <mergeCell ref="M241:M242"/>
    <mergeCell ref="N241:N242"/>
    <mergeCell ref="K243:K244"/>
    <mergeCell ref="L243:L244"/>
    <mergeCell ref="M243:M244"/>
    <mergeCell ref="N243:N244"/>
    <mergeCell ref="K245:K246"/>
    <mergeCell ref="L245:L246"/>
    <mergeCell ref="M245:M246"/>
    <mergeCell ref="N245:N246"/>
    <mergeCell ref="Y239:Y240"/>
    <mergeCell ref="Z239:Z240"/>
    <mergeCell ref="Y241:Y242"/>
    <mergeCell ref="Z241:Z242"/>
    <mergeCell ref="W243:W244"/>
    <mergeCell ref="X243:X244"/>
    <mergeCell ref="Y243:Y244"/>
    <mergeCell ref="Z243:Z244"/>
    <mergeCell ref="Y245:Y246"/>
    <mergeCell ref="Z245:Z246"/>
    <mergeCell ref="W247:W248"/>
    <mergeCell ref="X247:X248"/>
    <mergeCell ref="Y247:Y248"/>
    <mergeCell ref="Z247:Z248"/>
    <mergeCell ref="Q245:Q246"/>
    <mergeCell ref="R245:R246"/>
    <mergeCell ref="S245:S246"/>
    <mergeCell ref="T245:T246"/>
    <mergeCell ref="Q247:Q248"/>
    <mergeCell ref="R247:R248"/>
    <mergeCell ref="S247:S248"/>
    <mergeCell ref="T247:T248"/>
    <mergeCell ref="V241:V242"/>
    <mergeCell ref="AC247:AC248"/>
    <mergeCell ref="AD247:AD248"/>
    <mergeCell ref="AE247:AE248"/>
    <mergeCell ref="AF247:AF248"/>
    <mergeCell ref="AC249:AC250"/>
    <mergeCell ref="AD249:AD250"/>
    <mergeCell ref="AE249:AE250"/>
    <mergeCell ref="AF249:AF250"/>
    <mergeCell ref="W249:W250"/>
    <mergeCell ref="X249:X250"/>
    <mergeCell ref="Y249:Y250"/>
    <mergeCell ref="Z249:Z250"/>
    <mergeCell ref="W251:W252"/>
    <mergeCell ref="X251:X252"/>
    <mergeCell ref="Y251:Y252"/>
    <mergeCell ref="Z251:Z252"/>
    <mergeCell ref="W253:W254"/>
    <mergeCell ref="X253:X254"/>
    <mergeCell ref="Y253:Y254"/>
    <mergeCell ref="Z253:Z254"/>
    <mergeCell ref="AC251:AC252"/>
    <mergeCell ref="AD251:AD252"/>
    <mergeCell ref="E50:E51"/>
    <mergeCell ref="F50:F51"/>
    <mergeCell ref="G50:G51"/>
    <mergeCell ref="H50:H51"/>
    <mergeCell ref="E52:E53"/>
    <mergeCell ref="F52:F53"/>
    <mergeCell ref="G52:G53"/>
    <mergeCell ref="H52:H53"/>
    <mergeCell ref="AE239:AE240"/>
    <mergeCell ref="AF239:AF240"/>
    <mergeCell ref="AE241:AE242"/>
    <mergeCell ref="AF241:AF242"/>
    <mergeCell ref="AC243:AC244"/>
    <mergeCell ref="AD243:AD244"/>
    <mergeCell ref="AE243:AE244"/>
    <mergeCell ref="AF243:AF244"/>
    <mergeCell ref="AE245:AE246"/>
    <mergeCell ref="AF245:AF246"/>
    <mergeCell ref="AC237:AC238"/>
    <mergeCell ref="AD237:AD238"/>
    <mergeCell ref="AC241:AC242"/>
    <mergeCell ref="AD241:AD242"/>
    <mergeCell ref="AC245:AC246"/>
    <mergeCell ref="AD245:AD246"/>
    <mergeCell ref="AC239:AC240"/>
    <mergeCell ref="AD239:AD240"/>
    <mergeCell ref="W245:W246"/>
    <mergeCell ref="X245:X246"/>
    <mergeCell ref="Y237:Y238"/>
    <mergeCell ref="Z237:Z238"/>
    <mergeCell ref="W239:W240"/>
    <mergeCell ref="X239:X240"/>
    <mergeCell ref="K50:K51"/>
    <mergeCell ref="L50:L51"/>
    <mergeCell ref="M50:M51"/>
    <mergeCell ref="N50:N51"/>
    <mergeCell ref="K52:K53"/>
    <mergeCell ref="L52:L53"/>
    <mergeCell ref="M52:M53"/>
    <mergeCell ref="N52:N53"/>
    <mergeCell ref="AE251:AE252"/>
    <mergeCell ref="AF251:AF252"/>
    <mergeCell ref="AC253:AC254"/>
    <mergeCell ref="AD253:AD254"/>
    <mergeCell ref="AE253:AE254"/>
    <mergeCell ref="AF253:AF254"/>
    <mergeCell ref="E40:E41"/>
    <mergeCell ref="F40:F41"/>
    <mergeCell ref="G40:G41"/>
    <mergeCell ref="H40:H41"/>
    <mergeCell ref="E42:E43"/>
    <mergeCell ref="F42:F43"/>
    <mergeCell ref="G42:G43"/>
    <mergeCell ref="H42:H43"/>
    <mergeCell ref="E44:E45"/>
    <mergeCell ref="F44:F45"/>
    <mergeCell ref="G44:G45"/>
    <mergeCell ref="H44:H45"/>
    <mergeCell ref="G46:G47"/>
    <mergeCell ref="H46:H47"/>
    <mergeCell ref="E48:E49"/>
    <mergeCell ref="F48:F49"/>
    <mergeCell ref="G48:G49"/>
    <mergeCell ref="H48:H49"/>
    <mergeCell ref="S46:S47"/>
    <mergeCell ref="T46:T47"/>
    <mergeCell ref="S48:S49"/>
    <mergeCell ref="T48:T49"/>
    <mergeCell ref="Q50:Q51"/>
    <mergeCell ref="R50:R51"/>
    <mergeCell ref="S50:S51"/>
    <mergeCell ref="T50:T51"/>
    <mergeCell ref="E56:E57"/>
    <mergeCell ref="F56:F57"/>
    <mergeCell ref="G56:G57"/>
    <mergeCell ref="H56:H57"/>
    <mergeCell ref="K40:K41"/>
    <mergeCell ref="L40:L41"/>
    <mergeCell ref="M40:M41"/>
    <mergeCell ref="N40:N41"/>
    <mergeCell ref="K42:K43"/>
    <mergeCell ref="L42:L43"/>
    <mergeCell ref="M42:M43"/>
    <mergeCell ref="N42:N43"/>
    <mergeCell ref="K44:K45"/>
    <mergeCell ref="L44:L45"/>
    <mergeCell ref="M44:M45"/>
    <mergeCell ref="N44:N45"/>
    <mergeCell ref="K46:K47"/>
    <mergeCell ref="L46:L47"/>
    <mergeCell ref="M46:M47"/>
    <mergeCell ref="N46:N47"/>
    <mergeCell ref="K48:K49"/>
    <mergeCell ref="L48:L49"/>
    <mergeCell ref="M48:M49"/>
    <mergeCell ref="N48:N49"/>
    <mergeCell ref="W40:W41"/>
    <mergeCell ref="X40:X41"/>
    <mergeCell ref="W44:W45"/>
    <mergeCell ref="X44:X45"/>
    <mergeCell ref="W48:W49"/>
    <mergeCell ref="X48:X49"/>
    <mergeCell ref="W52:W53"/>
    <mergeCell ref="X52:X53"/>
    <mergeCell ref="K54:K55"/>
    <mergeCell ref="L54:L55"/>
    <mergeCell ref="M54:M55"/>
    <mergeCell ref="N54:N55"/>
    <mergeCell ref="K56:K57"/>
    <mergeCell ref="L56:L57"/>
    <mergeCell ref="M56:M57"/>
    <mergeCell ref="N56:N57"/>
    <mergeCell ref="Q40:Q41"/>
    <mergeCell ref="R40:R41"/>
    <mergeCell ref="Q44:Q45"/>
    <mergeCell ref="R44:R45"/>
    <mergeCell ref="Q48:Q49"/>
    <mergeCell ref="R48:R49"/>
    <mergeCell ref="S40:S41"/>
    <mergeCell ref="T40:T41"/>
    <mergeCell ref="Q42:Q43"/>
    <mergeCell ref="R42:R43"/>
    <mergeCell ref="S42:S43"/>
    <mergeCell ref="T42:T43"/>
    <mergeCell ref="S44:S45"/>
    <mergeCell ref="T44:T45"/>
    <mergeCell ref="Q46:Q47"/>
    <mergeCell ref="R46:R47"/>
    <mergeCell ref="Y48:Y49"/>
    <mergeCell ref="Z48:Z49"/>
    <mergeCell ref="W50:W51"/>
    <mergeCell ref="X50:X51"/>
    <mergeCell ref="Y50:Y51"/>
    <mergeCell ref="Z50:Z51"/>
    <mergeCell ref="Q52:Q53"/>
    <mergeCell ref="R52:R53"/>
    <mergeCell ref="S52:S53"/>
    <mergeCell ref="T52:T53"/>
    <mergeCell ref="Q54:Q55"/>
    <mergeCell ref="R54:R55"/>
    <mergeCell ref="S54:S55"/>
    <mergeCell ref="T54:T55"/>
    <mergeCell ref="Q56:Q57"/>
    <mergeCell ref="R56:R57"/>
    <mergeCell ref="S56:S57"/>
    <mergeCell ref="T56:T57"/>
    <mergeCell ref="Y52:Y53"/>
    <mergeCell ref="Z52:Z53"/>
    <mergeCell ref="W54:W55"/>
    <mergeCell ref="X54:X55"/>
    <mergeCell ref="Y54:Y55"/>
    <mergeCell ref="Z54:Z55"/>
    <mergeCell ref="W56:W57"/>
    <mergeCell ref="X56:X57"/>
    <mergeCell ref="Y56:Y57"/>
    <mergeCell ref="Z56:Z57"/>
    <mergeCell ref="AC40:AC41"/>
    <mergeCell ref="AD40:AD41"/>
    <mergeCell ref="AC44:AC45"/>
    <mergeCell ref="AD44:AD45"/>
    <mergeCell ref="AC48:AC49"/>
    <mergeCell ref="AD48:AD49"/>
    <mergeCell ref="AE40:AE41"/>
    <mergeCell ref="AC52:AC53"/>
    <mergeCell ref="AD52:AD53"/>
    <mergeCell ref="AE52:AE53"/>
    <mergeCell ref="Y40:Y41"/>
    <mergeCell ref="Z40:Z41"/>
    <mergeCell ref="W42:W43"/>
    <mergeCell ref="X42:X43"/>
    <mergeCell ref="Y42:Y43"/>
    <mergeCell ref="Z42:Z43"/>
    <mergeCell ref="Y44:Y45"/>
    <mergeCell ref="Z44:Z45"/>
    <mergeCell ref="W46:W47"/>
    <mergeCell ref="X46:X47"/>
    <mergeCell ref="Y46:Y47"/>
    <mergeCell ref="Z46:Z47"/>
    <mergeCell ref="AF40:AF41"/>
    <mergeCell ref="AC42:AC43"/>
    <mergeCell ref="AD42:AD43"/>
    <mergeCell ref="AE42:AE43"/>
    <mergeCell ref="AF42:AF43"/>
    <mergeCell ref="AE44:AE45"/>
    <mergeCell ref="AF44:AF45"/>
    <mergeCell ref="AC46:AC47"/>
    <mergeCell ref="AD46:AD47"/>
    <mergeCell ref="AE46:AE47"/>
    <mergeCell ref="AF46:AF47"/>
    <mergeCell ref="AE48:AE49"/>
    <mergeCell ref="AF48:AF49"/>
    <mergeCell ref="AC50:AC51"/>
    <mergeCell ref="AD50:AD51"/>
    <mergeCell ref="AE50:AE51"/>
    <mergeCell ref="AF50:AF51"/>
    <mergeCell ref="AF52:AF53"/>
    <mergeCell ref="AC54:AC55"/>
    <mergeCell ref="AD54:AD55"/>
    <mergeCell ref="AE54:AE55"/>
    <mergeCell ref="AF54:AF55"/>
    <mergeCell ref="AC56:AC57"/>
    <mergeCell ref="AD56:AD57"/>
    <mergeCell ref="AE56:AE57"/>
    <mergeCell ref="AF56:AF57"/>
    <mergeCell ref="E59:E60"/>
    <mergeCell ref="F59:F60"/>
    <mergeCell ref="G59:G60"/>
    <mergeCell ref="H59:H60"/>
    <mergeCell ref="K59:K60"/>
    <mergeCell ref="L59:L60"/>
    <mergeCell ref="E61:E62"/>
    <mergeCell ref="F61:F62"/>
    <mergeCell ref="G61:G62"/>
    <mergeCell ref="H61:H62"/>
    <mergeCell ref="M59:M60"/>
    <mergeCell ref="N59:N60"/>
    <mergeCell ref="K61:K62"/>
    <mergeCell ref="L61:L62"/>
    <mergeCell ref="M61:M62"/>
    <mergeCell ref="N61:N62"/>
    <mergeCell ref="Q59:Q60"/>
    <mergeCell ref="R59:R60"/>
    <mergeCell ref="S59:S60"/>
    <mergeCell ref="T59:T60"/>
    <mergeCell ref="Q61:Q62"/>
    <mergeCell ref="R61:R62"/>
    <mergeCell ref="S61:S62"/>
    <mergeCell ref="T63:T64"/>
    <mergeCell ref="Q65:Q66"/>
    <mergeCell ref="R65:R66"/>
    <mergeCell ref="S65:S66"/>
    <mergeCell ref="T65:T66"/>
    <mergeCell ref="Q67:Q68"/>
    <mergeCell ref="R67:R68"/>
    <mergeCell ref="S67:S68"/>
    <mergeCell ref="T67:T68"/>
    <mergeCell ref="Q69:Q70"/>
    <mergeCell ref="R69:R70"/>
    <mergeCell ref="S69:S70"/>
    <mergeCell ref="T69:T70"/>
    <mergeCell ref="Q71:Q72"/>
    <mergeCell ref="R71:R72"/>
    <mergeCell ref="S71:S72"/>
    <mergeCell ref="T71:T72"/>
    <mergeCell ref="W59:W60"/>
    <mergeCell ref="X59:X60"/>
    <mergeCell ref="W63:W64"/>
    <mergeCell ref="X63:X64"/>
    <mergeCell ref="W67:W68"/>
    <mergeCell ref="X67:X68"/>
    <mergeCell ref="Y59:Y60"/>
    <mergeCell ref="Z59:Z60"/>
    <mergeCell ref="W61:W62"/>
    <mergeCell ref="X61:X62"/>
    <mergeCell ref="Y61:Y62"/>
    <mergeCell ref="Z61:Z62"/>
    <mergeCell ref="Y63:Y64"/>
    <mergeCell ref="Z63:Z64"/>
    <mergeCell ref="W65:W66"/>
    <mergeCell ref="X65:X66"/>
    <mergeCell ref="Y65:Y66"/>
    <mergeCell ref="Z65:Z66"/>
    <mergeCell ref="Y67:Y68"/>
    <mergeCell ref="Z67:Z68"/>
    <mergeCell ref="W71:W72"/>
    <mergeCell ref="X71:X72"/>
    <mergeCell ref="Y71:Y72"/>
    <mergeCell ref="Z71:Z72"/>
    <mergeCell ref="AC59:AC60"/>
    <mergeCell ref="AD59:AD60"/>
    <mergeCell ref="AC63:AC64"/>
    <mergeCell ref="AD63:AD64"/>
    <mergeCell ref="AC67:AC68"/>
    <mergeCell ref="AD67:AD68"/>
    <mergeCell ref="AE59:AE60"/>
    <mergeCell ref="AF59:AF60"/>
    <mergeCell ref="AC61:AC62"/>
    <mergeCell ref="AD61:AD62"/>
    <mergeCell ref="AE61:AE62"/>
    <mergeCell ref="AF61:AF62"/>
    <mergeCell ref="AE63:AE64"/>
    <mergeCell ref="AF63:AF64"/>
    <mergeCell ref="AC65:AC66"/>
    <mergeCell ref="AD65:AD66"/>
    <mergeCell ref="AE65:AE66"/>
    <mergeCell ref="AF65:AF66"/>
    <mergeCell ref="AE67:AE68"/>
    <mergeCell ref="AF67:AF68"/>
    <mergeCell ref="AC69:AC70"/>
    <mergeCell ref="AD69:AD70"/>
    <mergeCell ref="AE69:AE70"/>
    <mergeCell ref="AF69:AF70"/>
    <mergeCell ref="AC71:AC72"/>
    <mergeCell ref="AD71:AD72"/>
    <mergeCell ref="AE71:AE72"/>
    <mergeCell ref="AF71:AF72"/>
    <mergeCell ref="L78:L79"/>
    <mergeCell ref="J78:J79"/>
    <mergeCell ref="M78:M79"/>
    <mergeCell ref="N78:N79"/>
    <mergeCell ref="Q74:Q75"/>
    <mergeCell ref="R74:R75"/>
    <mergeCell ref="S74:S75"/>
    <mergeCell ref="T74:T75"/>
    <mergeCell ref="Q78:Q79"/>
    <mergeCell ref="R78:R79"/>
    <mergeCell ref="S78:S79"/>
    <mergeCell ref="T78:T79"/>
    <mergeCell ref="W78:W79"/>
    <mergeCell ref="X78:X79"/>
    <mergeCell ref="Y78:Y79"/>
    <mergeCell ref="Z78:Z79"/>
    <mergeCell ref="AC74:AC75"/>
    <mergeCell ref="P78:P79"/>
    <mergeCell ref="V78:V79"/>
    <mergeCell ref="AB78:AB79"/>
    <mergeCell ref="AD74:AD75"/>
    <mergeCell ref="AE74:AE75"/>
    <mergeCell ref="AF74:AF75"/>
    <mergeCell ref="AC78:AC79"/>
    <mergeCell ref="AD78:AD79"/>
    <mergeCell ref="AE78:AE79"/>
    <mergeCell ref="AF78:AF79"/>
    <mergeCell ref="E83:E84"/>
    <mergeCell ref="F83:F84"/>
    <mergeCell ref="G83:G84"/>
    <mergeCell ref="H83:H84"/>
    <mergeCell ref="E85:E86"/>
    <mergeCell ref="F85:F86"/>
    <mergeCell ref="G85:G86"/>
    <mergeCell ref="H85:H86"/>
    <mergeCell ref="E87:E88"/>
    <mergeCell ref="F87:F88"/>
    <mergeCell ref="G87:G88"/>
    <mergeCell ref="H87:H88"/>
    <mergeCell ref="Q83:Q84"/>
    <mergeCell ref="R83:R84"/>
    <mergeCell ref="S83:S84"/>
    <mergeCell ref="T83:T84"/>
    <mergeCell ref="Q85:Q86"/>
    <mergeCell ref="R85:R86"/>
    <mergeCell ref="S85:S86"/>
    <mergeCell ref="T85:T86"/>
    <mergeCell ref="Q87:Q88"/>
    <mergeCell ref="R87:R88"/>
    <mergeCell ref="S87:S88"/>
    <mergeCell ref="T87:T88"/>
    <mergeCell ref="W83:W84"/>
    <mergeCell ref="E89:E90"/>
    <mergeCell ref="F89:F90"/>
    <mergeCell ref="G89:G90"/>
    <mergeCell ref="H89:H90"/>
    <mergeCell ref="E91:E92"/>
    <mergeCell ref="F91:F92"/>
    <mergeCell ref="G91:G92"/>
    <mergeCell ref="H91:H92"/>
    <mergeCell ref="E93:E94"/>
    <mergeCell ref="F93:F94"/>
    <mergeCell ref="G93:G94"/>
    <mergeCell ref="H93:H94"/>
    <mergeCell ref="K83:K84"/>
    <mergeCell ref="L83:L84"/>
    <mergeCell ref="M83:M84"/>
    <mergeCell ref="N83:N84"/>
    <mergeCell ref="K85:K86"/>
    <mergeCell ref="L85:L86"/>
    <mergeCell ref="M85:M86"/>
    <mergeCell ref="N85:N86"/>
    <mergeCell ref="K87:K88"/>
    <mergeCell ref="L87:L88"/>
    <mergeCell ref="M87:M88"/>
    <mergeCell ref="N87:N88"/>
    <mergeCell ref="K89:K90"/>
    <mergeCell ref="L89:L90"/>
    <mergeCell ref="M89:M90"/>
    <mergeCell ref="N89:N90"/>
    <mergeCell ref="K91:K92"/>
    <mergeCell ref="L91:L92"/>
    <mergeCell ref="M91:M92"/>
    <mergeCell ref="N91:N92"/>
    <mergeCell ref="X83:X84"/>
    <mergeCell ref="Y83:Y84"/>
    <mergeCell ref="Z83:Z84"/>
    <mergeCell ref="W85:W86"/>
    <mergeCell ref="X85:X86"/>
    <mergeCell ref="Y85:Y86"/>
    <mergeCell ref="Z85:Z86"/>
    <mergeCell ref="W87:W88"/>
    <mergeCell ref="X87:X88"/>
    <mergeCell ref="Y87:Y88"/>
    <mergeCell ref="Z87:Z88"/>
    <mergeCell ref="W89:W90"/>
    <mergeCell ref="X89:X90"/>
    <mergeCell ref="Y89:Y90"/>
    <mergeCell ref="Z89:Z90"/>
    <mergeCell ref="W91:W92"/>
    <mergeCell ref="X91:X92"/>
    <mergeCell ref="Y91:Y92"/>
    <mergeCell ref="Z91:Z92"/>
    <mergeCell ref="AC83:AC84"/>
    <mergeCell ref="AD83:AD84"/>
    <mergeCell ref="AE83:AE84"/>
    <mergeCell ref="AF83:AF84"/>
    <mergeCell ref="AC85:AC86"/>
    <mergeCell ref="AD85:AD86"/>
    <mergeCell ref="AE85:AE86"/>
    <mergeCell ref="AF85:AF86"/>
    <mergeCell ref="AC87:AC88"/>
    <mergeCell ref="AD87:AD88"/>
    <mergeCell ref="AE87:AE88"/>
    <mergeCell ref="AF87:AF88"/>
    <mergeCell ref="AC89:AC90"/>
    <mergeCell ref="AD89:AD90"/>
    <mergeCell ref="AE89:AE90"/>
    <mergeCell ref="AF89:AF90"/>
    <mergeCell ref="AC91:AC92"/>
    <mergeCell ref="AD91:AD92"/>
    <mergeCell ref="AE91:AE92"/>
    <mergeCell ref="AF91:AF92"/>
    <mergeCell ref="AC93:AC94"/>
    <mergeCell ref="AD93:AD94"/>
    <mergeCell ref="AE93:AE94"/>
    <mergeCell ref="AF93:AF94"/>
    <mergeCell ref="H96:H97"/>
    <mergeCell ref="E98:E99"/>
    <mergeCell ref="F98:F99"/>
    <mergeCell ref="G98:G99"/>
    <mergeCell ref="H98:H99"/>
    <mergeCell ref="E100:E101"/>
    <mergeCell ref="F100:F101"/>
    <mergeCell ref="G100:G101"/>
    <mergeCell ref="H100:H101"/>
    <mergeCell ref="E102:E103"/>
    <mergeCell ref="F102:F103"/>
    <mergeCell ref="G102:G103"/>
    <mergeCell ref="H102:H103"/>
    <mergeCell ref="Q96:Q97"/>
    <mergeCell ref="R96:R97"/>
    <mergeCell ref="Q100:Q101"/>
    <mergeCell ref="R100:R101"/>
    <mergeCell ref="Q102:Q103"/>
    <mergeCell ref="R102:R103"/>
    <mergeCell ref="S96:S97"/>
    <mergeCell ref="T96:T97"/>
    <mergeCell ref="Q98:Q99"/>
    <mergeCell ref="R98:R99"/>
    <mergeCell ref="S98:S99"/>
    <mergeCell ref="T98:T99"/>
    <mergeCell ref="S102:S103"/>
    <mergeCell ref="T102:T103"/>
    <mergeCell ref="W96:W97"/>
    <mergeCell ref="E106:E107"/>
    <mergeCell ref="F106:F107"/>
    <mergeCell ref="G106:G107"/>
    <mergeCell ref="H106:H107"/>
    <mergeCell ref="K96:K97"/>
    <mergeCell ref="L96:L97"/>
    <mergeCell ref="K100:K101"/>
    <mergeCell ref="L100:L101"/>
    <mergeCell ref="K102:K103"/>
    <mergeCell ref="L102:L103"/>
    <mergeCell ref="M96:M97"/>
    <mergeCell ref="N96:N97"/>
    <mergeCell ref="K98:K99"/>
    <mergeCell ref="L98:L99"/>
    <mergeCell ref="M98:M99"/>
    <mergeCell ref="N98:N99"/>
    <mergeCell ref="M102:M103"/>
    <mergeCell ref="N102:N103"/>
    <mergeCell ref="K104:K105"/>
    <mergeCell ref="L104:L105"/>
    <mergeCell ref="M104:M105"/>
    <mergeCell ref="N104:N105"/>
    <mergeCell ref="K106:K107"/>
    <mergeCell ref="L106:L107"/>
    <mergeCell ref="M106:M107"/>
    <mergeCell ref="N106:N107"/>
    <mergeCell ref="J102:J103"/>
    <mergeCell ref="X96:X97"/>
    <mergeCell ref="W100:W101"/>
    <mergeCell ref="X100:X101"/>
    <mergeCell ref="W104:W105"/>
    <mergeCell ref="X104:X105"/>
    <mergeCell ref="Y96:Y97"/>
    <mergeCell ref="Z96:Z97"/>
    <mergeCell ref="W98:W99"/>
    <mergeCell ref="X98:X99"/>
    <mergeCell ref="Y98:Y99"/>
    <mergeCell ref="Z98:Z99"/>
    <mergeCell ref="Y100:Y101"/>
    <mergeCell ref="Z100:Z101"/>
    <mergeCell ref="W102:W103"/>
    <mergeCell ref="X102:X103"/>
    <mergeCell ref="Y102:Y103"/>
    <mergeCell ref="Z102:Z103"/>
    <mergeCell ref="Y104:Y105"/>
    <mergeCell ref="Z104:Z105"/>
    <mergeCell ref="AC96:AC97"/>
    <mergeCell ref="AD96:AD97"/>
    <mergeCell ref="AE96:AE97"/>
    <mergeCell ref="AF96:AF97"/>
    <mergeCell ref="AC98:AC99"/>
    <mergeCell ref="AD98:AD99"/>
    <mergeCell ref="AE98:AE99"/>
    <mergeCell ref="AF98:AF99"/>
    <mergeCell ref="AC100:AC101"/>
    <mergeCell ref="AD100:AD101"/>
    <mergeCell ref="AE100:AE101"/>
    <mergeCell ref="AF100:AF101"/>
    <mergeCell ref="AC102:AC103"/>
    <mergeCell ref="AD102:AD103"/>
    <mergeCell ref="AE102:AE103"/>
    <mergeCell ref="AF102:AF103"/>
    <mergeCell ref="AC104:AC105"/>
    <mergeCell ref="AD104:AD105"/>
    <mergeCell ref="AE104:AE105"/>
    <mergeCell ref="AF104:AF105"/>
    <mergeCell ref="E110:E111"/>
    <mergeCell ref="F110:F111"/>
    <mergeCell ref="G110:G111"/>
    <mergeCell ref="H110:H111"/>
    <mergeCell ref="E112:E113"/>
    <mergeCell ref="F112:F113"/>
    <mergeCell ref="G112:G113"/>
    <mergeCell ref="H112:H113"/>
    <mergeCell ref="E114:E115"/>
    <mergeCell ref="F114:F115"/>
    <mergeCell ref="G114:G115"/>
    <mergeCell ref="H114:H115"/>
    <mergeCell ref="E116:E117"/>
    <mergeCell ref="F116:F117"/>
    <mergeCell ref="G116:G117"/>
    <mergeCell ref="H116:H117"/>
    <mergeCell ref="E118:E119"/>
    <mergeCell ref="F118:F119"/>
    <mergeCell ref="G118:G119"/>
    <mergeCell ref="H118:H119"/>
    <mergeCell ref="E120:E121"/>
    <mergeCell ref="F120:F121"/>
    <mergeCell ref="G120:G121"/>
    <mergeCell ref="H120:H121"/>
    <mergeCell ref="E122:E123"/>
    <mergeCell ref="F122:F123"/>
    <mergeCell ref="G122:G123"/>
    <mergeCell ref="H122:H123"/>
    <mergeCell ref="K110:K111"/>
    <mergeCell ref="L110:L111"/>
    <mergeCell ref="K114:K115"/>
    <mergeCell ref="L114:L115"/>
    <mergeCell ref="K118:K119"/>
    <mergeCell ref="L118:L119"/>
    <mergeCell ref="M110:M111"/>
    <mergeCell ref="N110:N111"/>
    <mergeCell ref="K112:K113"/>
    <mergeCell ref="L112:L113"/>
    <mergeCell ref="M112:M113"/>
    <mergeCell ref="N112:N113"/>
    <mergeCell ref="M114:M115"/>
    <mergeCell ref="N114:N115"/>
    <mergeCell ref="K116:K117"/>
    <mergeCell ref="L116:L117"/>
    <mergeCell ref="M116:M117"/>
    <mergeCell ref="N116:N117"/>
    <mergeCell ref="M118:M119"/>
    <mergeCell ref="N118:N119"/>
    <mergeCell ref="K120:K121"/>
    <mergeCell ref="L120:L121"/>
    <mergeCell ref="M120:M121"/>
    <mergeCell ref="N120:N121"/>
    <mergeCell ref="Q110:Q111"/>
    <mergeCell ref="R110:R111"/>
    <mergeCell ref="Q114:Q115"/>
    <mergeCell ref="R114:R115"/>
    <mergeCell ref="Q118:Q119"/>
    <mergeCell ref="R118:R119"/>
    <mergeCell ref="S110:S111"/>
    <mergeCell ref="T110:T111"/>
    <mergeCell ref="Q112:Q113"/>
    <mergeCell ref="R112:R113"/>
    <mergeCell ref="S112:S113"/>
    <mergeCell ref="T112:T113"/>
    <mergeCell ref="S114:S115"/>
    <mergeCell ref="T114:T115"/>
    <mergeCell ref="Q116:Q117"/>
    <mergeCell ref="R116:R117"/>
    <mergeCell ref="S116:S117"/>
    <mergeCell ref="T116:T117"/>
    <mergeCell ref="S118:S119"/>
    <mergeCell ref="T118:T119"/>
    <mergeCell ref="S120:S121"/>
    <mergeCell ref="T120:T121"/>
    <mergeCell ref="Q122:Q123"/>
    <mergeCell ref="R122:R123"/>
    <mergeCell ref="S122:S123"/>
    <mergeCell ref="T122:T123"/>
    <mergeCell ref="W110:W111"/>
    <mergeCell ref="X110:X111"/>
    <mergeCell ref="W114:W115"/>
    <mergeCell ref="X114:X115"/>
    <mergeCell ref="W118:W119"/>
    <mergeCell ref="X118:X119"/>
    <mergeCell ref="Y110:Y111"/>
    <mergeCell ref="Z110:Z111"/>
    <mergeCell ref="W112:W113"/>
    <mergeCell ref="X112:X113"/>
    <mergeCell ref="Y112:Y113"/>
    <mergeCell ref="Z112:Z113"/>
    <mergeCell ref="Y114:Y115"/>
    <mergeCell ref="Z114:Z115"/>
    <mergeCell ref="W116:W117"/>
    <mergeCell ref="X116:X117"/>
    <mergeCell ref="Y116:Y117"/>
    <mergeCell ref="Z116:Z117"/>
    <mergeCell ref="Y118:Y119"/>
    <mergeCell ref="Z118:Z119"/>
    <mergeCell ref="W120:W121"/>
    <mergeCell ref="X120:X121"/>
    <mergeCell ref="Y120:Y121"/>
    <mergeCell ref="Z120:Z121"/>
    <mergeCell ref="W122:W123"/>
    <mergeCell ref="X122:X123"/>
    <mergeCell ref="Y122:Y123"/>
    <mergeCell ref="Z122:Z123"/>
    <mergeCell ref="AC110:AC111"/>
    <mergeCell ref="AD110:AD111"/>
    <mergeCell ref="AC114:AC115"/>
    <mergeCell ref="AD114:AD115"/>
    <mergeCell ref="AC118:AC119"/>
    <mergeCell ref="AD118:AD119"/>
    <mergeCell ref="AE110:AE111"/>
    <mergeCell ref="AF110:AF111"/>
    <mergeCell ref="AC112:AC113"/>
    <mergeCell ref="AD112:AD113"/>
    <mergeCell ref="AE112:AE113"/>
    <mergeCell ref="AF112:AF113"/>
    <mergeCell ref="AE114:AE115"/>
    <mergeCell ref="AF114:AF115"/>
    <mergeCell ref="AC116:AC117"/>
    <mergeCell ref="AD116:AD117"/>
    <mergeCell ref="AE116:AE117"/>
    <mergeCell ref="AF116:AF117"/>
    <mergeCell ref="AE118:AE119"/>
    <mergeCell ref="AF118:AF119"/>
    <mergeCell ref="AC120:AC121"/>
    <mergeCell ref="AD120:AD121"/>
    <mergeCell ref="AE120:AE121"/>
    <mergeCell ref="AF120:AF121"/>
    <mergeCell ref="AC122:AC123"/>
    <mergeCell ref="AD122:AD123"/>
    <mergeCell ref="AE122:AE123"/>
    <mergeCell ref="AF122:AF123"/>
    <mergeCell ref="J125:J126"/>
    <mergeCell ref="E125:E126"/>
    <mergeCell ref="F125:F126"/>
    <mergeCell ref="G125:G126"/>
    <mergeCell ref="H125:H126"/>
    <mergeCell ref="I125:I12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AH125:AH126"/>
    <mergeCell ref="E127:E128"/>
    <mergeCell ref="F127:F128"/>
    <mergeCell ref="G127:G128"/>
    <mergeCell ref="H127:H128"/>
    <mergeCell ref="I127:I128"/>
    <mergeCell ref="K127:K128"/>
    <mergeCell ref="J127:J128"/>
    <mergeCell ref="L127:L128"/>
    <mergeCell ref="M127:M128"/>
    <mergeCell ref="N127:N128"/>
    <mergeCell ref="O127:O128"/>
    <mergeCell ref="Q127:Q128"/>
    <mergeCell ref="R127:R128"/>
    <mergeCell ref="P127:P128"/>
    <mergeCell ref="S127:S128"/>
    <mergeCell ref="T127:T128"/>
    <mergeCell ref="U127:U128"/>
    <mergeCell ref="W127:W128"/>
    <mergeCell ref="X127:X128"/>
    <mergeCell ref="Y127:Y128"/>
    <mergeCell ref="V127:V128"/>
    <mergeCell ref="Z127:Z128"/>
    <mergeCell ref="AA127:AA128"/>
    <mergeCell ref="AC127:AC128"/>
    <mergeCell ref="AD127:AD128"/>
    <mergeCell ref="AE127:AE128"/>
    <mergeCell ref="AF127:AF128"/>
    <mergeCell ref="AB127:AB128"/>
    <mergeCell ref="AG127:AG128"/>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Y129:Y130"/>
    <mergeCell ref="Z129:Z130"/>
    <mergeCell ref="AA129:AA130"/>
    <mergeCell ref="AC129:AC130"/>
    <mergeCell ref="AD129:AD130"/>
    <mergeCell ref="AE129:AE130"/>
    <mergeCell ref="AF129:AF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J135:J136"/>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AG137:AG138"/>
    <mergeCell ref="E135:E136"/>
    <mergeCell ref="F135:F136"/>
    <mergeCell ref="G135:G136"/>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AD141:AD142"/>
    <mergeCell ref="AE141:AE142"/>
    <mergeCell ref="AF141:AF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G141:G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AG148:AG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J155:J156"/>
    <mergeCell ref="P155:P156"/>
    <mergeCell ref="V155:V156"/>
    <mergeCell ref="AB155:AB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J163:J164"/>
    <mergeCell ref="P163:P164"/>
    <mergeCell ref="V163:V164"/>
    <mergeCell ref="AB163:AB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J171:J172"/>
    <mergeCell ref="P171:P172"/>
    <mergeCell ref="V171:V172"/>
    <mergeCell ref="AB171:AB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J179:J180"/>
    <mergeCell ref="P179:P180"/>
    <mergeCell ref="V179:V180"/>
    <mergeCell ref="AB179:AB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J187:J188"/>
    <mergeCell ref="P187:P188"/>
    <mergeCell ref="V187:V188"/>
    <mergeCell ref="AB187:AB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X192:X193"/>
    <mergeCell ref="Y192:Y193"/>
    <mergeCell ref="Z192:Z193"/>
    <mergeCell ref="AC192:AC193"/>
    <mergeCell ref="AD192:AD193"/>
    <mergeCell ref="AE192:AE193"/>
    <mergeCell ref="AF192:AF193"/>
    <mergeCell ref="E196:E197"/>
    <mergeCell ref="F196:F197"/>
    <mergeCell ref="G196:G197"/>
    <mergeCell ref="H196:H197"/>
    <mergeCell ref="K196:K197"/>
    <mergeCell ref="L196:L197"/>
    <mergeCell ref="M196:M197"/>
    <mergeCell ref="E198:E199"/>
    <mergeCell ref="F198:F199"/>
    <mergeCell ref="G198:G199"/>
    <mergeCell ref="H198:H199"/>
    <mergeCell ref="N198:N199"/>
    <mergeCell ref="AC196:AC197"/>
    <mergeCell ref="AD196:AD197"/>
    <mergeCell ref="AE196:AE197"/>
    <mergeCell ref="AF196:AF197"/>
    <mergeCell ref="AC198:AC199"/>
    <mergeCell ref="AD198:AD199"/>
    <mergeCell ref="AE198:AE199"/>
    <mergeCell ref="AF198:AF199"/>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W192:W193"/>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W196:W197"/>
    <mergeCell ref="X196:X197"/>
    <mergeCell ref="Y196:Y197"/>
    <mergeCell ref="Z196:Z197"/>
    <mergeCell ref="W198:W199"/>
    <mergeCell ref="X198:X199"/>
    <mergeCell ref="Y198:Y199"/>
    <mergeCell ref="Z198:Z199"/>
    <mergeCell ref="Y206:Y207"/>
    <mergeCell ref="Z206:Z207"/>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M217:M218"/>
    <mergeCell ref="N213:N214"/>
    <mergeCell ref="N215:N216"/>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D208:AD209"/>
    <mergeCell ref="AE208:AE209"/>
    <mergeCell ref="AF208:AF209"/>
    <mergeCell ref="Q210:Q211"/>
    <mergeCell ref="R210:R211"/>
    <mergeCell ref="S210:S211"/>
    <mergeCell ref="T210:T211"/>
    <mergeCell ref="W210:W211"/>
    <mergeCell ref="X210:X211"/>
    <mergeCell ref="Y210:Y211"/>
    <mergeCell ref="Z210:Z211"/>
    <mergeCell ref="N200:N201"/>
    <mergeCell ref="W217:W218"/>
    <mergeCell ref="X217:X218"/>
    <mergeCell ref="Y217:Y218"/>
    <mergeCell ref="AC210:AC211"/>
    <mergeCell ref="AD210:AD211"/>
    <mergeCell ref="AE210:AE211"/>
    <mergeCell ref="AF210:AF211"/>
    <mergeCell ref="H213:H214"/>
    <mergeCell ref="E215:E216"/>
    <mergeCell ref="F215:F216"/>
    <mergeCell ref="G215:G216"/>
    <mergeCell ref="H215:H216"/>
    <mergeCell ref="AC208:AC209"/>
    <mergeCell ref="W208:W209"/>
    <mergeCell ref="X208:X209"/>
    <mergeCell ref="Y208:Y209"/>
    <mergeCell ref="Z208:Z209"/>
    <mergeCell ref="E217:E218"/>
    <mergeCell ref="F217:F218"/>
    <mergeCell ref="G217:G218"/>
    <mergeCell ref="H217:H218"/>
    <mergeCell ref="K213:K214"/>
    <mergeCell ref="K215:K216"/>
    <mergeCell ref="K217:K218"/>
    <mergeCell ref="E213:E214"/>
    <mergeCell ref="F213:F214"/>
    <mergeCell ref="G213:G214"/>
    <mergeCell ref="L213:L214"/>
    <mergeCell ref="L215:L216"/>
    <mergeCell ref="L217:L218"/>
    <mergeCell ref="M213:M214"/>
    <mergeCell ref="M215:M216"/>
    <mergeCell ref="AE215:AE216"/>
    <mergeCell ref="AF215:AF216"/>
    <mergeCell ref="AG215:AG216"/>
    <mergeCell ref="Z213:Z214"/>
    <mergeCell ref="AC217:AC218"/>
    <mergeCell ref="AD217:AD218"/>
    <mergeCell ref="AE217:AE218"/>
    <mergeCell ref="AF217:AF218"/>
    <mergeCell ref="AG217:AG218"/>
    <mergeCell ref="AC213:AC214"/>
    <mergeCell ref="AD213:AD214"/>
    <mergeCell ref="AE213:AE214"/>
    <mergeCell ref="AF213:AF214"/>
    <mergeCell ref="AG213:AG214"/>
    <mergeCell ref="Q213:Q214"/>
    <mergeCell ref="Q215:Q216"/>
    <mergeCell ref="Q217:Q218"/>
    <mergeCell ref="R213:R214"/>
    <mergeCell ref="R215:R216"/>
    <mergeCell ref="R217:R218"/>
    <mergeCell ref="S213:S214"/>
    <mergeCell ref="S215:S216"/>
    <mergeCell ref="S217:S218"/>
    <mergeCell ref="T213:T214"/>
    <mergeCell ref="T215:T216"/>
    <mergeCell ref="T217:T218"/>
    <mergeCell ref="W213:W214"/>
    <mergeCell ref="X213:X214"/>
    <mergeCell ref="Y213:Y214"/>
    <mergeCell ref="W215:W216"/>
    <mergeCell ref="X215:X216"/>
    <mergeCell ref="Y215:Y216"/>
  </mergeCells>
  <pageMargins left="0.56999999999999995" right="0.17" top="0.47" bottom="0.38" header="0.3" footer="0.3"/>
  <pageSetup paperSize="9" scale="88"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7CE5-6AD1-42A7-870A-7E6968C95886}">
  <sheetPr>
    <pageSetUpPr fitToPage="1"/>
  </sheetPr>
  <dimension ref="A1:AH256"/>
  <sheetViews>
    <sheetView zoomScaleNormal="100" workbookViewId="0">
      <pane ySplit="12" topLeftCell="A234" activePane="bottomLeft" state="frozen"/>
      <selection activeCell="B67" sqref="B67:C68"/>
      <selection pane="bottomLeft" activeCell="E237" sqref="E237:AH254"/>
    </sheetView>
  </sheetViews>
  <sheetFormatPr defaultColWidth="9.109375" defaultRowHeight="10.199999999999999" x14ac:dyDescent="0.2"/>
  <cols>
    <col min="1" max="1" width="6" style="11" customWidth="1"/>
    <col min="2" max="2" width="35.77734375" style="31" customWidth="1"/>
    <col min="3" max="3" width="7.6640625" style="31" customWidth="1"/>
    <col min="4" max="4" width="5.77734375" style="11" customWidth="1"/>
    <col min="5" max="34" width="4.77734375" style="11" customWidth="1"/>
    <col min="35" max="16384" width="9.109375" style="11"/>
  </cols>
  <sheetData>
    <row r="1" spans="1:34" x14ac:dyDescent="0.2">
      <c r="A1" s="9"/>
      <c r="B1" s="10"/>
      <c r="C1" s="10"/>
      <c r="D1" s="9"/>
    </row>
    <row r="2" spans="1:34" x14ac:dyDescent="0.2">
      <c r="A2" s="297" t="s">
        <v>51</v>
      </c>
      <c r="B2" s="297"/>
      <c r="C2" s="297"/>
      <c r="D2" s="269"/>
      <c r="E2" s="269"/>
      <c r="F2" s="269"/>
      <c r="G2" s="269"/>
      <c r="H2" s="269"/>
      <c r="I2" s="269"/>
      <c r="J2" s="269"/>
      <c r="K2" s="269"/>
      <c r="L2" s="269"/>
      <c r="M2" s="269"/>
      <c r="N2" s="269"/>
      <c r="O2" s="269"/>
      <c r="P2" s="269"/>
      <c r="Q2" s="269"/>
      <c r="R2" s="269"/>
    </row>
    <row r="3" spans="1:34" x14ac:dyDescent="0.2">
      <c r="A3" s="297" t="s">
        <v>50</v>
      </c>
      <c r="B3" s="297"/>
      <c r="C3" s="297"/>
      <c r="D3" s="269"/>
      <c r="E3" s="269"/>
      <c r="F3" s="269"/>
      <c r="G3" s="269"/>
      <c r="H3" s="269"/>
      <c r="I3" s="269"/>
      <c r="J3" s="269"/>
      <c r="K3" s="269"/>
      <c r="L3" s="269"/>
      <c r="M3" s="269"/>
      <c r="N3" s="269"/>
      <c r="O3" s="269"/>
      <c r="P3" s="269"/>
      <c r="Q3" s="269"/>
      <c r="R3" s="269"/>
      <c r="S3" s="269"/>
    </row>
    <row r="4" spans="1:34" x14ac:dyDescent="0.2">
      <c r="A4" s="297" t="s">
        <v>62</v>
      </c>
      <c r="B4" s="297"/>
      <c r="C4" s="297"/>
      <c r="D4" s="12"/>
    </row>
    <row r="5" spans="1:34" x14ac:dyDescent="0.2">
      <c r="A5" s="271" t="s">
        <v>148</v>
      </c>
      <c r="B5" s="269"/>
      <c r="C5" s="13"/>
      <c r="D5" s="14"/>
      <c r="Q5" s="11" t="s">
        <v>74</v>
      </c>
      <c r="R5" s="15"/>
      <c r="W5" s="11" t="s">
        <v>74</v>
      </c>
      <c r="Y5" s="278"/>
      <c r="AC5" s="11" t="s">
        <v>74</v>
      </c>
    </row>
    <row r="6" spans="1:34" x14ac:dyDescent="0.2">
      <c r="A6" s="271" t="s">
        <v>154</v>
      </c>
      <c r="B6" s="269"/>
      <c r="C6" s="10"/>
      <c r="D6" s="9"/>
      <c r="I6" s="16"/>
      <c r="J6" s="16"/>
      <c r="O6" s="16"/>
      <c r="U6" s="16"/>
      <c r="V6" s="16"/>
      <c r="Y6" s="278"/>
      <c r="AA6" s="16"/>
      <c r="AB6" s="16"/>
      <c r="AG6" s="16"/>
      <c r="AH6" s="16"/>
    </row>
    <row r="7" spans="1:34" x14ac:dyDescent="0.2">
      <c r="A7" s="268"/>
      <c r="B7" s="268"/>
      <c r="C7" s="268"/>
    </row>
    <row r="8" spans="1:34" ht="14.25" customHeight="1" x14ac:dyDescent="0.2">
      <c r="A8" s="268" t="s">
        <v>165</v>
      </c>
      <c r="B8" s="268"/>
      <c r="C8" s="268"/>
      <c r="D8" s="269"/>
      <c r="E8" s="269"/>
      <c r="F8" s="269"/>
      <c r="G8" s="269"/>
      <c r="H8" s="269"/>
      <c r="I8" s="269"/>
      <c r="J8" s="269"/>
      <c r="K8" s="269"/>
      <c r="L8" s="269"/>
      <c r="M8" s="269"/>
      <c r="N8" s="269"/>
      <c r="O8" s="269"/>
      <c r="P8" s="269"/>
      <c r="Q8" s="269"/>
      <c r="R8" s="269"/>
    </row>
    <row r="9" spans="1:34" x14ac:dyDescent="0.2">
      <c r="A9" s="9"/>
      <c r="B9" s="10"/>
      <c r="C9" s="10"/>
      <c r="D9" s="9"/>
    </row>
    <row r="10" spans="1:34" x14ac:dyDescent="0.2">
      <c r="A10" s="17"/>
      <c r="B10" s="293" t="s">
        <v>38</v>
      </c>
      <c r="C10" s="292"/>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2"/>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2"/>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18">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66" t="s">
        <v>105</v>
      </c>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row>
    <row r="15" spans="1:34" ht="15.75" customHeight="1" thickBot="1" x14ac:dyDescent="0.25">
      <c r="A15" s="289"/>
      <c r="B15" s="284" t="s">
        <v>92</v>
      </c>
      <c r="C15" s="291"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91"/>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91"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91"/>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91"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91"/>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91"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91"/>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91"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91"/>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91"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91"/>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91"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91"/>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91"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91"/>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91"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91"/>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91"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91"/>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91"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91"/>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306"/>
      <c r="E39" s="306"/>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84"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84"/>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84"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84"/>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84"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84"/>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38.4"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c r="AG73" s="306"/>
      <c r="AH73" s="306"/>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305" t="s">
        <v>19</v>
      </c>
      <c r="C80" s="305"/>
      <c r="D80" s="304"/>
      <c r="E80" s="304"/>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row>
    <row r="81" spans="1:34" x14ac:dyDescent="0.2">
      <c r="A81" s="30" t="s">
        <v>41</v>
      </c>
      <c r="B81" s="305" t="s">
        <v>20</v>
      </c>
      <c r="C81" s="305"/>
      <c r="D81" s="306"/>
      <c r="E81" s="306"/>
      <c r="F81" s="306"/>
      <c r="G81" s="306"/>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c r="AG81" s="306"/>
      <c r="AH81" s="306"/>
    </row>
    <row r="82" spans="1:34" ht="52.8" customHeight="1" x14ac:dyDescent="0.2">
      <c r="A82" s="289"/>
      <c r="B82" s="33" t="s">
        <v>95</v>
      </c>
      <c r="C82" s="34"/>
      <c r="D82" s="24" t="s">
        <v>135</v>
      </c>
      <c r="E82" s="11">
        <v>2</v>
      </c>
      <c r="F82" s="35">
        <v>2</v>
      </c>
      <c r="G82" s="35">
        <v>2</v>
      </c>
      <c r="H82" s="35">
        <v>2</v>
      </c>
      <c r="I82" s="35"/>
      <c r="J82" s="35">
        <v>8</v>
      </c>
      <c r="K82" s="11">
        <v>2</v>
      </c>
      <c r="L82" s="35">
        <v>2</v>
      </c>
      <c r="M82" s="35">
        <v>2</v>
      </c>
      <c r="N82" s="35">
        <v>2</v>
      </c>
      <c r="O82" s="35"/>
      <c r="P82" s="35">
        <v>8</v>
      </c>
      <c r="Q82" s="11">
        <v>2</v>
      </c>
      <c r="R82" s="35">
        <v>2</v>
      </c>
      <c r="S82" s="35">
        <v>2</v>
      </c>
      <c r="T82" s="35">
        <v>2</v>
      </c>
      <c r="U82" s="35"/>
      <c r="V82" s="35">
        <v>8</v>
      </c>
      <c r="W82" s="11">
        <v>2</v>
      </c>
      <c r="X82" s="35">
        <v>2</v>
      </c>
      <c r="Y82" s="35">
        <v>2</v>
      </c>
      <c r="Z82" s="35">
        <v>2</v>
      </c>
      <c r="AA82" s="35"/>
      <c r="AB82" s="35">
        <v>8</v>
      </c>
      <c r="AC82" s="11">
        <v>2</v>
      </c>
      <c r="AD82" s="35">
        <v>2</v>
      </c>
      <c r="AE82" s="35">
        <v>2</v>
      </c>
      <c r="AF82" s="35">
        <v>2</v>
      </c>
      <c r="AG82" s="35"/>
      <c r="AH82" s="35">
        <v>8</v>
      </c>
    </row>
    <row r="83" spans="1:34" ht="15.75" customHeight="1" x14ac:dyDescent="0.2">
      <c r="A83" s="289"/>
      <c r="B83" s="284" t="s">
        <v>84</v>
      </c>
      <c r="C83" s="291"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91"/>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91"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91"/>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91"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91"/>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91"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91"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91"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4</v>
      </c>
      <c r="F95" s="162">
        <v>4</v>
      </c>
      <c r="G95" s="162">
        <v>4</v>
      </c>
      <c r="H95" s="162">
        <v>4</v>
      </c>
      <c r="I95" s="35"/>
      <c r="J95" s="35">
        <v>16</v>
      </c>
      <c r="K95" s="162">
        <v>4</v>
      </c>
      <c r="L95" s="162">
        <v>4</v>
      </c>
      <c r="M95" s="162">
        <v>4</v>
      </c>
      <c r="N95" s="162">
        <v>4</v>
      </c>
      <c r="O95" s="35"/>
      <c r="P95" s="35">
        <v>16</v>
      </c>
      <c r="Q95" s="162">
        <v>4</v>
      </c>
      <c r="R95" s="162">
        <v>4</v>
      </c>
      <c r="S95" s="162">
        <v>4</v>
      </c>
      <c r="T95" s="162">
        <v>4</v>
      </c>
      <c r="U95" s="35"/>
      <c r="V95" s="35">
        <v>16</v>
      </c>
      <c r="W95" s="162">
        <v>4</v>
      </c>
      <c r="X95" s="162">
        <v>4</v>
      </c>
      <c r="Y95" s="162">
        <v>4</v>
      </c>
      <c r="Z95" s="162">
        <v>4</v>
      </c>
      <c r="AA95" s="162"/>
      <c r="AB95" s="35">
        <v>16</v>
      </c>
      <c r="AC95" s="162">
        <v>4</v>
      </c>
      <c r="AD95" s="162">
        <v>4</v>
      </c>
      <c r="AE95" s="162">
        <v>4</v>
      </c>
      <c r="AF95" s="162">
        <v>4</v>
      </c>
      <c r="AG95" s="35"/>
      <c r="AH95" s="35">
        <v>16</v>
      </c>
    </row>
    <row r="96" spans="1:34" ht="15.75" customHeight="1" x14ac:dyDescent="0.2">
      <c r="A96" s="289"/>
      <c r="B96" s="284" t="s">
        <v>85</v>
      </c>
      <c r="C96" s="291"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91"/>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91"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91"/>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91"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91"/>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91"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91"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91"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c r="AG108" s="306"/>
      <c r="AH108" s="306"/>
    </row>
    <row r="109" spans="1:34" x14ac:dyDescent="0.2">
      <c r="A109" s="273"/>
      <c r="B109" s="298" t="s">
        <v>23</v>
      </c>
      <c r="C109" s="298"/>
      <c r="D109" s="24" t="s">
        <v>135</v>
      </c>
      <c r="E109" s="23">
        <v>4</v>
      </c>
      <c r="F109" s="23">
        <v>4</v>
      </c>
      <c r="G109" s="23">
        <v>4</v>
      </c>
      <c r="H109" s="23">
        <v>4</v>
      </c>
      <c r="I109" s="26"/>
      <c r="J109" s="41">
        <v>16</v>
      </c>
      <c r="K109" s="23">
        <v>4</v>
      </c>
      <c r="L109" s="23">
        <v>4</v>
      </c>
      <c r="M109" s="23">
        <v>4</v>
      </c>
      <c r="N109" s="23">
        <v>4</v>
      </c>
      <c r="O109" s="26"/>
      <c r="P109" s="41">
        <v>16</v>
      </c>
      <c r="Q109" s="23">
        <v>4</v>
      </c>
      <c r="R109" s="23">
        <v>4</v>
      </c>
      <c r="S109" s="23">
        <v>4</v>
      </c>
      <c r="T109" s="23">
        <v>4</v>
      </c>
      <c r="U109" s="26"/>
      <c r="V109" s="41">
        <v>16</v>
      </c>
      <c r="W109" s="23">
        <v>4</v>
      </c>
      <c r="X109" s="23">
        <v>4</v>
      </c>
      <c r="Y109" s="23">
        <v>4</v>
      </c>
      <c r="Z109" s="23">
        <v>4</v>
      </c>
      <c r="AA109" s="26"/>
      <c r="AB109" s="41">
        <v>16</v>
      </c>
      <c r="AC109" s="23">
        <v>4</v>
      </c>
      <c r="AD109" s="23">
        <v>4</v>
      </c>
      <c r="AE109" s="23">
        <v>4</v>
      </c>
      <c r="AF109" s="23">
        <v>4</v>
      </c>
      <c r="AG109" s="26"/>
      <c r="AH109" s="41">
        <v>16</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91"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91"/>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91"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91"/>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91"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91"/>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91"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91"/>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91"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91"/>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91"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91"/>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64" t="s">
        <v>25</v>
      </c>
      <c r="C124" s="264"/>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c r="AG124" s="306"/>
      <c r="AH124" s="306"/>
    </row>
    <row r="125" spans="1:34" ht="15.75" customHeight="1" x14ac:dyDescent="0.2">
      <c r="A125" s="289"/>
      <c r="B125" s="284" t="s">
        <v>137</v>
      </c>
      <c r="C125" s="291"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91"/>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91"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91"/>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91"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91"/>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91"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91"/>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91"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91"/>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91"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91"/>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57"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20.399999999999999" x14ac:dyDescent="0.2">
      <c r="A144" s="289"/>
      <c r="B144" s="284"/>
      <c r="C144" s="57" t="s">
        <v>7</v>
      </c>
      <c r="D144" s="24" t="s">
        <v>135</v>
      </c>
      <c r="E144" s="23">
        <v>0</v>
      </c>
      <c r="F144" s="23">
        <v>0</v>
      </c>
      <c r="G144" s="23">
        <v>0</v>
      </c>
      <c r="H144" s="23">
        <v>1</v>
      </c>
      <c r="I144" s="26"/>
      <c r="J144" s="41">
        <v>1</v>
      </c>
      <c r="K144" s="23">
        <v>0</v>
      </c>
      <c r="L144" s="23">
        <v>0</v>
      </c>
      <c r="M144" s="23">
        <v>0</v>
      </c>
      <c r="N144" s="23">
        <v>1</v>
      </c>
      <c r="O144" s="26"/>
      <c r="P144" s="41">
        <v>1</v>
      </c>
      <c r="Q144" s="23">
        <v>0</v>
      </c>
      <c r="R144" s="23">
        <v>0</v>
      </c>
      <c r="S144" s="23">
        <v>0</v>
      </c>
      <c r="T144" s="23">
        <v>1</v>
      </c>
      <c r="U144" s="26"/>
      <c r="V144" s="41">
        <v>1</v>
      </c>
      <c r="W144" s="23">
        <v>0</v>
      </c>
      <c r="X144" s="23">
        <v>0</v>
      </c>
      <c r="Y144" s="23">
        <v>0</v>
      </c>
      <c r="Z144" s="23">
        <v>1</v>
      </c>
      <c r="AA144" s="26"/>
      <c r="AB144" s="41">
        <v>1</v>
      </c>
      <c r="AC144" s="23">
        <v>0</v>
      </c>
      <c r="AD144" s="23">
        <v>0</v>
      </c>
      <c r="AE144" s="23">
        <v>0</v>
      </c>
      <c r="AF144" s="23">
        <v>1</v>
      </c>
      <c r="AG144" s="26"/>
      <c r="AH144" s="41">
        <v>1</v>
      </c>
    </row>
    <row r="145" spans="1:34" ht="20.399999999999999" x14ac:dyDescent="0.2">
      <c r="A145" s="289"/>
      <c r="B145" s="284"/>
      <c r="C145" s="57"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91"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91"/>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91"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91"/>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ht="12.75" customHeight="1"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91"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91"/>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91"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91"/>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6.5" customHeight="1" x14ac:dyDescent="0.2">
      <c r="A157" s="273"/>
      <c r="B157" s="284"/>
      <c r="C157" s="291"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6.5" customHeight="1" x14ac:dyDescent="0.2">
      <c r="A158" s="273"/>
      <c r="B158" s="284"/>
      <c r="C158" s="291"/>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91"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91"/>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91"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91"/>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91"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91"/>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8" customHeight="1" x14ac:dyDescent="0.2">
      <c r="A183" s="273"/>
      <c r="B183" s="288" t="s">
        <v>89</v>
      </c>
      <c r="C183" s="288"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8"/>
      <c r="C184" s="288"/>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8"/>
      <c r="C185" s="288"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8"/>
      <c r="C186" s="288"/>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8"/>
      <c r="C187" s="288"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8"/>
      <c r="C188" s="288"/>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F189" s="306"/>
      <c r="AG189" s="306"/>
      <c r="AH189" s="306"/>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x14ac:dyDescent="0.2">
      <c r="A195" s="43">
        <v>2.1</v>
      </c>
      <c r="B195" s="264" t="s">
        <v>30</v>
      </c>
      <c r="C195" s="264"/>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15.75" customHeight="1" x14ac:dyDescent="0.2">
      <c r="A196" s="289"/>
      <c r="B196" s="288" t="s">
        <v>142</v>
      </c>
      <c r="C196" s="288"/>
      <c r="D196" s="273" t="s">
        <v>78</v>
      </c>
      <c r="E196" s="254">
        <v>0.12</v>
      </c>
      <c r="F196" s="254">
        <v>0.12</v>
      </c>
      <c r="G196" s="254">
        <v>0.12</v>
      </c>
      <c r="H196" s="254">
        <v>0.12</v>
      </c>
      <c r="I196" s="45"/>
      <c r="J196" s="254">
        <v>0.12</v>
      </c>
      <c r="K196" s="254">
        <v>0.12</v>
      </c>
      <c r="L196" s="254">
        <v>0.12</v>
      </c>
      <c r="M196" s="254">
        <v>0.12</v>
      </c>
      <c r="N196" s="254">
        <v>0.12</v>
      </c>
      <c r="O196" s="45"/>
      <c r="P196" s="254">
        <v>0.12</v>
      </c>
      <c r="Q196" s="254">
        <v>0.12</v>
      </c>
      <c r="R196" s="254">
        <v>0.12</v>
      </c>
      <c r="S196" s="254">
        <v>0.12</v>
      </c>
      <c r="T196" s="254">
        <v>0.12</v>
      </c>
      <c r="U196" s="45"/>
      <c r="V196" s="254">
        <v>0.12</v>
      </c>
      <c r="W196" s="254">
        <v>0.12</v>
      </c>
      <c r="X196" s="254">
        <v>0.12</v>
      </c>
      <c r="Y196" s="254">
        <v>0.12</v>
      </c>
      <c r="Z196" s="254">
        <v>0.12</v>
      </c>
      <c r="AA196" s="45"/>
      <c r="AB196" s="254">
        <v>0.12</v>
      </c>
      <c r="AC196" s="254">
        <v>0.12</v>
      </c>
      <c r="AD196" s="254">
        <v>0.12</v>
      </c>
      <c r="AE196" s="254">
        <v>0.12</v>
      </c>
      <c r="AF196" s="254">
        <v>0.12</v>
      </c>
      <c r="AG196" s="29"/>
      <c r="AH196" s="254">
        <v>0.12</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30.926/(30.926+0.47)</f>
        <v>0.98502994011976053</v>
      </c>
      <c r="X198" s="252">
        <f>30.926/(30.926+0.47)</f>
        <v>0.98502994011976053</v>
      </c>
      <c r="Y198" s="252">
        <f>30.926/(30.926+0.47)</f>
        <v>0.98502994011976053</v>
      </c>
      <c r="Z198" s="252">
        <f>30.926/(30.926+0.47)</f>
        <v>0.98502994011976053</v>
      </c>
      <c r="AA198" s="19"/>
      <c r="AB198" s="252">
        <f>30.926/(30.926+0.47)</f>
        <v>0.98502994011976053</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2.6</v>
      </c>
      <c r="F200" s="250">
        <v>2.6</v>
      </c>
      <c r="G200" s="250">
        <v>2.6</v>
      </c>
      <c r="H200" s="250">
        <v>2.6</v>
      </c>
      <c r="I200" s="26"/>
      <c r="J200" s="250">
        <v>2.6</v>
      </c>
      <c r="K200" s="250">
        <v>2.6</v>
      </c>
      <c r="L200" s="250">
        <v>2.6</v>
      </c>
      <c r="M200" s="250">
        <v>2.6</v>
      </c>
      <c r="N200" s="250">
        <v>2.6</v>
      </c>
      <c r="O200" s="26"/>
      <c r="P200" s="250">
        <v>2.6</v>
      </c>
      <c r="Q200" s="250">
        <v>2.6</v>
      </c>
      <c r="R200" s="250">
        <v>2.6</v>
      </c>
      <c r="S200" s="250">
        <v>2.6</v>
      </c>
      <c r="T200" s="250">
        <v>2.6</v>
      </c>
      <c r="U200" s="26"/>
      <c r="V200" s="250">
        <v>2.6</v>
      </c>
      <c r="W200" s="250">
        <v>3</v>
      </c>
      <c r="X200" s="250">
        <v>3</v>
      </c>
      <c r="Y200" s="250">
        <v>3</v>
      </c>
      <c r="Z200" s="250">
        <v>3</v>
      </c>
      <c r="AA200" s="26"/>
      <c r="AB200" s="250">
        <v>3</v>
      </c>
      <c r="AC200" s="250">
        <v>3</v>
      </c>
      <c r="AD200" s="250">
        <v>3</v>
      </c>
      <c r="AE200" s="250">
        <v>3</v>
      </c>
      <c r="AF200" s="250">
        <v>3</v>
      </c>
      <c r="AG200" s="26"/>
      <c r="AH200" s="250">
        <v>3</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84"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84"/>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284"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84"/>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84"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84"/>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28.151/20.9</f>
        <v>1.3469377990430622</v>
      </c>
      <c r="F208" s="249">
        <f>28.151/20.9</f>
        <v>1.3469377990430622</v>
      </c>
      <c r="G208" s="249">
        <f>28.151/20.9</f>
        <v>1.3469377990430622</v>
      </c>
      <c r="H208" s="249">
        <f>28.151/20.9</f>
        <v>1.3469377990430622</v>
      </c>
      <c r="I208" s="19"/>
      <c r="J208" s="249">
        <f>28.151/20.9</f>
        <v>1.3469377990430622</v>
      </c>
      <c r="K208" s="249">
        <f>28.151/20.9</f>
        <v>1.3469377990430622</v>
      </c>
      <c r="L208" s="249">
        <f>28.151/20.9</f>
        <v>1.3469377990430622</v>
      </c>
      <c r="M208" s="249">
        <f>28.151/20.9</f>
        <v>1.3469377990430622</v>
      </c>
      <c r="N208" s="249">
        <f>28.151/20.9</f>
        <v>1.3469377990430622</v>
      </c>
      <c r="O208" s="19"/>
      <c r="P208" s="249">
        <f>28.151/20.9</f>
        <v>1.3469377990430622</v>
      </c>
      <c r="Q208" s="249">
        <f>28.151/20.9</f>
        <v>1.3469377990430622</v>
      </c>
      <c r="R208" s="249">
        <f>28.151/20.9</f>
        <v>1.3469377990430622</v>
      </c>
      <c r="S208" s="249">
        <f>28.151/20.9</f>
        <v>1.3469377990430622</v>
      </c>
      <c r="T208" s="249">
        <f>28.151/20.9</f>
        <v>1.3469377990430622</v>
      </c>
      <c r="U208" s="19"/>
      <c r="V208" s="249">
        <f>28.151/20.9</f>
        <v>1.3469377990430622</v>
      </c>
      <c r="W208" s="249">
        <f>28.151/20.9</f>
        <v>1.3469377990430622</v>
      </c>
      <c r="X208" s="249">
        <f>28.151/20.9</f>
        <v>1.3469377990430622</v>
      </c>
      <c r="Y208" s="249">
        <f>28.151/20.9</f>
        <v>1.3469377990430622</v>
      </c>
      <c r="Z208" s="249">
        <f>28.151/20.9</f>
        <v>1.3469377990430622</v>
      </c>
      <c r="AA208" s="19"/>
      <c r="AB208" s="249">
        <f>28.151/20.9</f>
        <v>1.3469377990430622</v>
      </c>
      <c r="AC208" s="249">
        <f>28.151/20.9</f>
        <v>1.3469377990430622</v>
      </c>
      <c r="AD208" s="249">
        <f>28.151/20.9</f>
        <v>1.3469377990430622</v>
      </c>
      <c r="AE208" s="249">
        <f>28.151/20.9</f>
        <v>1.3469377990430622</v>
      </c>
      <c r="AF208" s="249">
        <f>28.151/20.9</f>
        <v>1.3469377990430622</v>
      </c>
      <c r="AG208" s="19"/>
      <c r="AH208" s="249">
        <f>28.151/20.9</f>
        <v>1.3469377990430622</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f>4077/4077</f>
        <v>1</v>
      </c>
      <c r="F210" s="249">
        <f>4077/4077</f>
        <v>1</v>
      </c>
      <c r="G210" s="249">
        <f>4077/4077</f>
        <v>1</v>
      </c>
      <c r="H210" s="249">
        <f>4077/4077</f>
        <v>1</v>
      </c>
      <c r="I210" s="19"/>
      <c r="J210" s="249">
        <f>4077/4077</f>
        <v>1</v>
      </c>
      <c r="K210" s="249">
        <f>2669/2669</f>
        <v>1</v>
      </c>
      <c r="L210" s="249">
        <f>2669/2669</f>
        <v>1</v>
      </c>
      <c r="M210" s="249">
        <f>2669/2669</f>
        <v>1</v>
      </c>
      <c r="N210" s="249">
        <f>2669/2669</f>
        <v>1</v>
      </c>
      <c r="O210" s="1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31.8" customHeight="1"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f>(21.331+7.696)/20.9</f>
        <v>1.3888516746411486</v>
      </c>
      <c r="X213" s="249">
        <f>(21.331+7.696)/20.9</f>
        <v>1.3888516746411486</v>
      </c>
      <c r="Y213" s="249">
        <f>(21.331+7.696)/20.9</f>
        <v>1.3888516746411486</v>
      </c>
      <c r="Z213" s="249">
        <f>(21.331+7.696)/20.9</f>
        <v>1.3888516746411486</v>
      </c>
      <c r="AA213" s="19"/>
      <c r="AB213" s="249">
        <f>(21.331+7.696)/20.9</f>
        <v>1.3888516746411486</v>
      </c>
      <c r="AC213" s="249">
        <f>(21.331+7.696)/20.9</f>
        <v>1.3888516746411486</v>
      </c>
      <c r="AD213" s="249">
        <f>(21.331+7.696)/20.9</f>
        <v>1.3888516746411486</v>
      </c>
      <c r="AE213" s="249">
        <f>(21.331+7.696)/20.9</f>
        <v>1.3888516746411486</v>
      </c>
      <c r="AF213" s="249">
        <f>(21.331+7.696)/20.9</f>
        <v>1.3888516746411486</v>
      </c>
      <c r="AG213" s="19"/>
      <c r="AH213" s="249">
        <f>(21.331+7.696)/20.9</f>
        <v>1.3888516746411486</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1</v>
      </c>
      <c r="AD215" s="249">
        <v>1</v>
      </c>
      <c r="AE215" s="249">
        <v>1</v>
      </c>
      <c r="AF215" s="249">
        <v>1</v>
      </c>
      <c r="AG215" s="19"/>
      <c r="AH215" s="249">
        <v>1</v>
      </c>
    </row>
    <row r="216" spans="1:34" ht="35.4"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v>
      </c>
      <c r="F217" s="250">
        <v>0</v>
      </c>
      <c r="G217" s="250">
        <v>0</v>
      </c>
      <c r="H217" s="250">
        <v>0</v>
      </c>
      <c r="I217" s="26"/>
      <c r="J217" s="250">
        <v>0</v>
      </c>
      <c r="K217" s="250">
        <v>1</v>
      </c>
      <c r="L217" s="250">
        <v>2</v>
      </c>
      <c r="M217" s="250">
        <v>3</v>
      </c>
      <c r="N217" s="250">
        <v>4</v>
      </c>
      <c r="O217" s="26"/>
      <c r="P217" s="250">
        <v>0</v>
      </c>
      <c r="Q217" s="250">
        <v>1</v>
      </c>
      <c r="R217" s="250">
        <v>2</v>
      </c>
      <c r="S217" s="250">
        <v>3</v>
      </c>
      <c r="T217" s="250">
        <v>4</v>
      </c>
      <c r="U217" s="26"/>
      <c r="V217" s="250">
        <v>0</v>
      </c>
      <c r="W217" s="250">
        <v>0.26500000000000001</v>
      </c>
      <c r="X217" s="250">
        <v>0.26500000000000001</v>
      </c>
      <c r="Y217" s="250">
        <v>0.26500000000000001</v>
      </c>
      <c r="Z217" s="250">
        <v>0.26500000000000001</v>
      </c>
      <c r="AA217" s="26"/>
      <c r="AB217" s="250">
        <v>0.26500000000000001</v>
      </c>
      <c r="AC217" s="250">
        <v>0.26500000000000001</v>
      </c>
      <c r="AD217" s="250">
        <v>0.26500000000000001</v>
      </c>
      <c r="AE217" s="250">
        <v>0.26500000000000001</v>
      </c>
      <c r="AF217" s="250">
        <v>0.26500000000000001</v>
      </c>
      <c r="AG217" s="26"/>
      <c r="AH217" s="250">
        <v>0.26500000000000001</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2"/>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2"/>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2"/>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2"/>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18">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306"/>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6"/>
      <c r="AB225" s="306"/>
      <c r="AC225" s="306"/>
      <c r="AD225" s="306"/>
      <c r="AE225" s="306"/>
      <c r="AF225" s="306"/>
      <c r="AG225" s="306"/>
      <c r="AH225" s="306"/>
    </row>
    <row r="226" spans="1:34" ht="15.75" customHeight="1" x14ac:dyDescent="0.3">
      <c r="A226" s="289"/>
      <c r="B226" s="284" t="s">
        <v>45</v>
      </c>
      <c r="C226" s="284"/>
      <c r="D226" s="25" t="s">
        <v>101</v>
      </c>
      <c r="E226" s="8">
        <v>806</v>
      </c>
      <c r="F226" s="8">
        <v>807</v>
      </c>
      <c r="G226" s="8">
        <v>807</v>
      </c>
      <c r="H226" s="8">
        <v>807</v>
      </c>
      <c r="I226" s="139"/>
      <c r="J226" s="140">
        <v>807</v>
      </c>
      <c r="K226" s="8">
        <v>807</v>
      </c>
      <c r="L226" s="8">
        <v>808</v>
      </c>
      <c r="M226" s="8">
        <v>808</v>
      </c>
      <c r="N226" s="8">
        <v>808</v>
      </c>
      <c r="O226" s="139"/>
      <c r="P226" s="140">
        <v>808</v>
      </c>
      <c r="Q226" s="8">
        <v>808</v>
      </c>
      <c r="R226" s="8">
        <v>809</v>
      </c>
      <c r="S226" s="8">
        <v>809</v>
      </c>
      <c r="T226" s="8">
        <v>809</v>
      </c>
      <c r="U226" s="139"/>
      <c r="V226" s="140">
        <v>809</v>
      </c>
      <c r="W226" s="8">
        <v>809</v>
      </c>
      <c r="X226" s="8">
        <v>810</v>
      </c>
      <c r="Y226" s="8">
        <v>810</v>
      </c>
      <c r="Z226" s="8">
        <v>810</v>
      </c>
      <c r="AA226" s="139"/>
      <c r="AB226" s="140">
        <v>810</v>
      </c>
      <c r="AC226" s="8">
        <v>810</v>
      </c>
      <c r="AD226" s="8">
        <v>811</v>
      </c>
      <c r="AE226" s="8">
        <v>811</v>
      </c>
      <c r="AF226" s="8">
        <v>811</v>
      </c>
      <c r="AG226" s="139"/>
      <c r="AH226" s="140">
        <v>811</v>
      </c>
    </row>
    <row r="227" spans="1:34" x14ac:dyDescent="0.2">
      <c r="A227" s="289"/>
      <c r="B227" s="284"/>
      <c r="C227" s="284"/>
      <c r="D227" s="25" t="s">
        <v>32</v>
      </c>
      <c r="E227" s="26">
        <v>28.151</v>
      </c>
      <c r="F227" s="26">
        <v>28.151</v>
      </c>
      <c r="G227" s="26">
        <v>28.151</v>
      </c>
      <c r="H227" s="26">
        <v>28.151</v>
      </c>
      <c r="I227" s="211"/>
      <c r="J227" s="26">
        <v>28.151</v>
      </c>
      <c r="K227" s="26">
        <v>28.151</v>
      </c>
      <c r="L227" s="26">
        <v>28.151</v>
      </c>
      <c r="M227" s="26">
        <v>28.151</v>
      </c>
      <c r="N227" s="26">
        <v>28.151</v>
      </c>
      <c r="O227" s="26"/>
      <c r="P227" s="26">
        <v>28.151</v>
      </c>
      <c r="Q227" s="26">
        <v>28.151</v>
      </c>
      <c r="R227" s="26">
        <v>28.151</v>
      </c>
      <c r="S227" s="26">
        <v>28.151</v>
      </c>
      <c r="T227" s="26">
        <v>28.151</v>
      </c>
      <c r="U227" s="44"/>
      <c r="V227" s="26">
        <v>28.151</v>
      </c>
      <c r="W227" s="26">
        <v>28.151</v>
      </c>
      <c r="X227" s="26">
        <v>28.151</v>
      </c>
      <c r="Y227" s="26">
        <v>28.151</v>
      </c>
      <c r="Z227" s="26">
        <v>28.151</v>
      </c>
      <c r="AA227" s="26"/>
      <c r="AB227" s="26">
        <v>28.151</v>
      </c>
      <c r="AC227" s="26">
        <v>28.151</v>
      </c>
      <c r="AD227" s="26">
        <v>28.151</v>
      </c>
      <c r="AE227" s="26">
        <v>28.151</v>
      </c>
      <c r="AF227" s="26">
        <v>28.151</v>
      </c>
      <c r="AG227" s="26"/>
      <c r="AH227" s="26">
        <v>28.151</v>
      </c>
    </row>
    <row r="228" spans="1:34" ht="15.75" customHeight="1" x14ac:dyDescent="0.2">
      <c r="A228" s="289"/>
      <c r="B228" s="284" t="s">
        <v>46</v>
      </c>
      <c r="C228" s="284"/>
      <c r="D228" s="25" t="s">
        <v>32</v>
      </c>
      <c r="E228" s="26">
        <v>28.151</v>
      </c>
      <c r="F228" s="26">
        <v>28.151</v>
      </c>
      <c r="G228" s="26">
        <v>28.151</v>
      </c>
      <c r="H228" s="26">
        <v>28.151</v>
      </c>
      <c r="I228" s="211"/>
      <c r="J228" s="26">
        <v>28.151</v>
      </c>
      <c r="K228" s="26">
        <v>28.151</v>
      </c>
      <c r="L228" s="26">
        <v>28.151</v>
      </c>
      <c r="M228" s="26">
        <v>28.151</v>
      </c>
      <c r="N228" s="26">
        <v>28.151</v>
      </c>
      <c r="O228" s="26"/>
      <c r="P228" s="26">
        <v>28.151</v>
      </c>
      <c r="Q228" s="26">
        <v>28.151</v>
      </c>
      <c r="R228" s="26">
        <v>28.151</v>
      </c>
      <c r="S228" s="26">
        <v>28.151</v>
      </c>
      <c r="T228" s="26">
        <v>28.151</v>
      </c>
      <c r="U228" s="44"/>
      <c r="V228" s="26">
        <v>28.151</v>
      </c>
      <c r="W228" s="26">
        <v>28.151</v>
      </c>
      <c r="X228" s="26">
        <v>28.151</v>
      </c>
      <c r="Y228" s="26">
        <v>28.151</v>
      </c>
      <c r="Z228" s="26">
        <v>28.151</v>
      </c>
      <c r="AA228" s="26"/>
      <c r="AB228" s="26">
        <v>28.151</v>
      </c>
      <c r="AC228" s="26">
        <v>28.151</v>
      </c>
      <c r="AD228" s="26">
        <v>28.151</v>
      </c>
      <c r="AE228" s="26">
        <v>28.151</v>
      </c>
      <c r="AF228" s="26">
        <v>28.151</v>
      </c>
      <c r="AG228" s="26"/>
      <c r="AH228" s="26">
        <v>28.151</v>
      </c>
    </row>
    <row r="229" spans="1:34" ht="27.6" customHeight="1" x14ac:dyDescent="0.2">
      <c r="A229" s="289"/>
      <c r="B229" s="284"/>
      <c r="C229" s="284"/>
      <c r="D229" s="25" t="s">
        <v>143</v>
      </c>
      <c r="E229" s="47">
        <v>967.125</v>
      </c>
      <c r="F229" s="47">
        <v>1072.25</v>
      </c>
      <c r="G229" s="47">
        <v>1177.375</v>
      </c>
      <c r="H229" s="47">
        <v>1282.5</v>
      </c>
      <c r="I229" s="41"/>
      <c r="J229" s="41">
        <v>1282.5</v>
      </c>
      <c r="K229" s="47">
        <v>1388</v>
      </c>
      <c r="L229" s="47">
        <v>1493</v>
      </c>
      <c r="M229" s="47">
        <v>1598</v>
      </c>
      <c r="N229" s="47">
        <v>1703</v>
      </c>
      <c r="O229" s="41"/>
      <c r="P229" s="41">
        <v>1703</v>
      </c>
      <c r="Q229" s="47">
        <v>2072.4375</v>
      </c>
      <c r="R229" s="47">
        <v>2441.875</v>
      </c>
      <c r="S229" s="47">
        <v>2811.3125</v>
      </c>
      <c r="T229" s="47">
        <v>3180.75</v>
      </c>
      <c r="U229" s="47"/>
      <c r="V229" s="41">
        <v>3180.75</v>
      </c>
      <c r="W229" s="47">
        <v>3335.9625000000001</v>
      </c>
      <c r="X229" s="47">
        <v>3491.1750000000002</v>
      </c>
      <c r="Y229" s="47">
        <v>3646.3874999999998</v>
      </c>
      <c r="Z229" s="47">
        <v>3801.6</v>
      </c>
      <c r="AA229" s="41"/>
      <c r="AB229" s="41">
        <v>3801.6</v>
      </c>
      <c r="AC229" s="47">
        <v>3892.4324999999999</v>
      </c>
      <c r="AD229" s="47">
        <v>3983.2649999999999</v>
      </c>
      <c r="AE229" s="47">
        <v>4074.0974999999999</v>
      </c>
      <c r="AF229" s="47">
        <v>4164.93</v>
      </c>
      <c r="AG229" s="41"/>
      <c r="AH229" s="41">
        <v>4164.93</v>
      </c>
    </row>
    <row r="230" spans="1:34" ht="15.75" customHeight="1" x14ac:dyDescent="0.2">
      <c r="A230" s="289"/>
      <c r="B230" s="284" t="s">
        <v>47</v>
      </c>
      <c r="C230" s="284"/>
      <c r="D230" s="25" t="s">
        <v>32</v>
      </c>
      <c r="E230" s="26">
        <v>30.925999999999998</v>
      </c>
      <c r="F230" s="26">
        <v>30.925999999999998</v>
      </c>
      <c r="G230" s="26">
        <v>30.925999999999998</v>
      </c>
      <c r="H230" s="26">
        <v>30.925999999999998</v>
      </c>
      <c r="I230" s="26"/>
      <c r="J230" s="26">
        <v>30.925999999999998</v>
      </c>
      <c r="K230" s="26">
        <v>30.925999999999998</v>
      </c>
      <c r="L230" s="26">
        <v>30.925999999999998</v>
      </c>
      <c r="M230" s="26">
        <v>30.925999999999998</v>
      </c>
      <c r="N230" s="26">
        <v>30.925999999999998</v>
      </c>
      <c r="O230" s="26"/>
      <c r="P230" s="26">
        <v>30.925999999999998</v>
      </c>
      <c r="Q230" s="26">
        <v>30.925999999999998</v>
      </c>
      <c r="R230" s="26">
        <v>30.925999999999998</v>
      </c>
      <c r="S230" s="26">
        <v>30.925999999999998</v>
      </c>
      <c r="T230" s="26">
        <v>30.925999999999998</v>
      </c>
      <c r="U230" s="44"/>
      <c r="V230" s="26">
        <v>30.925999999999998</v>
      </c>
      <c r="W230" s="244">
        <v>31.4</v>
      </c>
      <c r="X230" s="244">
        <v>31.4</v>
      </c>
      <c r="Y230" s="244">
        <v>31.4</v>
      </c>
      <c r="Z230" s="244">
        <v>31.4</v>
      </c>
      <c r="AA230" s="211"/>
      <c r="AB230" s="26">
        <f>30.926+0.47</f>
        <v>31.395999999999997</v>
      </c>
      <c r="AC230" s="26">
        <f>30.926+0.47</f>
        <v>31.395999999999997</v>
      </c>
      <c r="AD230" s="26">
        <f>30.926+0.47</f>
        <v>31.395999999999997</v>
      </c>
      <c r="AE230" s="26">
        <f>30.926+0.47</f>
        <v>31.395999999999997</v>
      </c>
      <c r="AF230" s="26">
        <f>30.926+0.47</f>
        <v>31.395999999999997</v>
      </c>
      <c r="AG230" s="26"/>
      <c r="AH230" s="58">
        <f>AB230</f>
        <v>31.395999999999997</v>
      </c>
    </row>
    <row r="231" spans="1:34" x14ac:dyDescent="0.2">
      <c r="A231" s="289"/>
      <c r="B231" s="284"/>
      <c r="C231" s="284"/>
      <c r="D231" s="25" t="s">
        <v>143</v>
      </c>
      <c r="E231" s="47">
        <v>967.125</v>
      </c>
      <c r="F231" s="47">
        <v>1072.25</v>
      </c>
      <c r="G231" s="47">
        <v>1177.375</v>
      </c>
      <c r="H231" s="47">
        <v>1282.5</v>
      </c>
      <c r="I231" s="41"/>
      <c r="J231" s="41">
        <v>1282.5</v>
      </c>
      <c r="K231" s="47">
        <v>1388</v>
      </c>
      <c r="L231" s="47">
        <v>1493</v>
      </c>
      <c r="M231" s="47">
        <v>1598</v>
      </c>
      <c r="N231" s="47">
        <v>1703</v>
      </c>
      <c r="O231" s="41"/>
      <c r="P231" s="41">
        <v>1703</v>
      </c>
      <c r="Q231" s="47">
        <v>2072.4375</v>
      </c>
      <c r="R231" s="47">
        <v>2441.875</v>
      </c>
      <c r="S231" s="47">
        <v>2811.3125</v>
      </c>
      <c r="T231" s="47">
        <v>3180.75</v>
      </c>
      <c r="U231" s="47"/>
      <c r="V231" s="41">
        <v>3180.75</v>
      </c>
      <c r="W231" s="47">
        <v>3335.9625000000001</v>
      </c>
      <c r="X231" s="47">
        <v>3491.1750000000002</v>
      </c>
      <c r="Y231" s="47">
        <v>3646.3874999999998</v>
      </c>
      <c r="Z231" s="47">
        <v>3801.6</v>
      </c>
      <c r="AA231" s="41"/>
      <c r="AB231" s="41">
        <v>3801.6</v>
      </c>
      <c r="AC231" s="47">
        <v>3892.4324999999999</v>
      </c>
      <c r="AD231" s="47">
        <v>3983.2649999999999</v>
      </c>
      <c r="AE231" s="47">
        <v>4074.0974999999999</v>
      </c>
      <c r="AF231" s="47">
        <v>4164.93</v>
      </c>
      <c r="AG231" s="41"/>
      <c r="AH231" s="41">
        <v>4164.93</v>
      </c>
    </row>
    <row r="232" spans="1:34" x14ac:dyDescent="0.2">
      <c r="A232" s="289"/>
      <c r="B232" s="284" t="s">
        <v>36</v>
      </c>
      <c r="C232" s="284"/>
      <c r="D232" s="25" t="s">
        <v>144</v>
      </c>
      <c r="E232" s="41">
        <v>0</v>
      </c>
      <c r="F232" s="41">
        <v>0</v>
      </c>
      <c r="G232" s="41">
        <v>0</v>
      </c>
      <c r="H232" s="41">
        <v>0</v>
      </c>
      <c r="I232" s="41"/>
      <c r="J232" s="41">
        <v>0</v>
      </c>
      <c r="K232" s="41">
        <v>0</v>
      </c>
      <c r="L232" s="41">
        <v>0</v>
      </c>
      <c r="M232" s="41">
        <v>0</v>
      </c>
      <c r="N232" s="41">
        <v>0</v>
      </c>
      <c r="O232" s="41"/>
      <c r="P232" s="41">
        <v>0</v>
      </c>
      <c r="Q232" s="41">
        <v>0</v>
      </c>
      <c r="R232" s="41">
        <v>0</v>
      </c>
      <c r="S232" s="41">
        <v>0</v>
      </c>
      <c r="T232" s="41">
        <v>0</v>
      </c>
      <c r="U232" s="41"/>
      <c r="V232" s="41">
        <v>0</v>
      </c>
      <c r="W232" s="23">
        <v>153</v>
      </c>
      <c r="X232" s="23">
        <v>306</v>
      </c>
      <c r="Y232" s="23">
        <v>458</v>
      </c>
      <c r="Z232" s="23">
        <v>611</v>
      </c>
      <c r="AA232" s="41"/>
      <c r="AB232" s="41">
        <v>611</v>
      </c>
      <c r="AC232" s="23">
        <v>610</v>
      </c>
      <c r="AD232" s="23">
        <v>610</v>
      </c>
      <c r="AE232" s="23">
        <v>611</v>
      </c>
      <c r="AF232" s="23">
        <v>611</v>
      </c>
      <c r="AG232" s="41"/>
      <c r="AH232" s="41">
        <v>611</v>
      </c>
    </row>
    <row r="233" spans="1:34" x14ac:dyDescent="0.2">
      <c r="A233" s="289"/>
      <c r="B233" s="284"/>
      <c r="C233" s="284"/>
      <c r="D233" s="25" t="s">
        <v>32</v>
      </c>
      <c r="E233" s="23">
        <v>0</v>
      </c>
      <c r="F233" s="23">
        <v>0</v>
      </c>
      <c r="G233" s="23">
        <v>0</v>
      </c>
      <c r="H233" s="23">
        <v>0</v>
      </c>
      <c r="I233" s="41"/>
      <c r="J233" s="41">
        <v>0</v>
      </c>
      <c r="K233" s="41">
        <v>0</v>
      </c>
      <c r="L233" s="41">
        <v>0</v>
      </c>
      <c r="M233" s="41">
        <v>0</v>
      </c>
      <c r="N233" s="41">
        <v>0</v>
      </c>
      <c r="O233" s="41"/>
      <c r="P233" s="41">
        <v>0</v>
      </c>
      <c r="Q233" s="41">
        <v>0</v>
      </c>
      <c r="R233" s="41">
        <v>0</v>
      </c>
      <c r="S233" s="41">
        <v>0</v>
      </c>
      <c r="T233" s="41">
        <v>0</v>
      </c>
      <c r="U233" s="41"/>
      <c r="V233" s="41">
        <v>0</v>
      </c>
      <c r="W233" s="44">
        <v>7.2567500000000003</v>
      </c>
      <c r="X233" s="44">
        <v>14.513500000000001</v>
      </c>
      <c r="Y233" s="44">
        <v>21.770250000000001</v>
      </c>
      <c r="Z233" s="44">
        <v>29.027000000000001</v>
      </c>
      <c r="AA233" s="26"/>
      <c r="AB233" s="26">
        <v>29.027000000000001</v>
      </c>
      <c r="AC233" s="26">
        <v>29.027000000000001</v>
      </c>
      <c r="AD233" s="26">
        <v>29.027000000000001</v>
      </c>
      <c r="AE233" s="26">
        <v>29.027000000000001</v>
      </c>
      <c r="AF233" s="26">
        <v>29.027000000000001</v>
      </c>
      <c r="AG233" s="26"/>
      <c r="AH233" s="26">
        <v>29.027000000000001</v>
      </c>
    </row>
    <row r="234" spans="1:34" x14ac:dyDescent="0.2">
      <c r="A234" s="289"/>
      <c r="B234" s="284" t="s">
        <v>48</v>
      </c>
      <c r="C234" s="284"/>
      <c r="D234" s="24" t="s">
        <v>143</v>
      </c>
      <c r="E234" s="23">
        <v>0</v>
      </c>
      <c r="F234" s="23">
        <v>0</v>
      </c>
      <c r="G234" s="23">
        <v>0</v>
      </c>
      <c r="H234" s="23">
        <v>0</v>
      </c>
      <c r="I234" s="41"/>
      <c r="J234" s="23">
        <v>0</v>
      </c>
      <c r="K234" s="23">
        <v>0</v>
      </c>
      <c r="L234" s="23">
        <v>0</v>
      </c>
      <c r="M234" s="23">
        <v>0</v>
      </c>
      <c r="N234" s="23">
        <v>0</v>
      </c>
      <c r="O234" s="41"/>
      <c r="P234" s="41">
        <v>0</v>
      </c>
      <c r="Q234" s="23">
        <v>0</v>
      </c>
      <c r="R234" s="23">
        <v>0</v>
      </c>
      <c r="S234" s="23">
        <v>0</v>
      </c>
      <c r="T234" s="23">
        <v>0</v>
      </c>
      <c r="U234" s="41"/>
      <c r="V234" s="41">
        <v>0</v>
      </c>
      <c r="W234" s="23">
        <v>528</v>
      </c>
      <c r="X234" s="23">
        <v>1056</v>
      </c>
      <c r="Y234" s="23">
        <v>1584</v>
      </c>
      <c r="Z234" s="23">
        <v>2112</v>
      </c>
      <c r="AA234" s="41"/>
      <c r="AB234" s="41">
        <v>2112</v>
      </c>
      <c r="AC234" s="23">
        <v>2625.2325000000001</v>
      </c>
      <c r="AD234" s="23">
        <v>3138.4650000000001</v>
      </c>
      <c r="AE234" s="23">
        <v>3651.6975000000002</v>
      </c>
      <c r="AF234" s="23">
        <v>4164.93</v>
      </c>
      <c r="AG234" s="41"/>
      <c r="AH234" s="41">
        <v>4164.93</v>
      </c>
    </row>
    <row r="235" spans="1:34" x14ac:dyDescent="0.2">
      <c r="A235" s="289"/>
      <c r="B235" s="284"/>
      <c r="C235" s="284"/>
      <c r="D235" s="24" t="s">
        <v>143</v>
      </c>
      <c r="E235" s="23">
        <v>4275</v>
      </c>
      <c r="F235" s="23">
        <v>4275</v>
      </c>
      <c r="G235" s="23">
        <v>4275</v>
      </c>
      <c r="H235" s="23">
        <v>4275</v>
      </c>
      <c r="I235" s="41"/>
      <c r="J235" s="23">
        <v>4275</v>
      </c>
      <c r="K235" s="41">
        <f>E235-17</f>
        <v>4258</v>
      </c>
      <c r="L235" s="41">
        <f>F235-17</f>
        <v>4258</v>
      </c>
      <c r="M235" s="41">
        <f>G235-17</f>
        <v>4258</v>
      </c>
      <c r="N235" s="41">
        <f>H235-17</f>
        <v>4258</v>
      </c>
      <c r="O235" s="41"/>
      <c r="P235" s="41">
        <f>J235-17</f>
        <v>4258</v>
      </c>
      <c r="Q235" s="41">
        <f>K235-17</f>
        <v>4241</v>
      </c>
      <c r="R235" s="41">
        <f>L235-17</f>
        <v>4241</v>
      </c>
      <c r="S235" s="41">
        <f>M235-17</f>
        <v>4241</v>
      </c>
      <c r="T235" s="41">
        <f>N235-17</f>
        <v>4241</v>
      </c>
      <c r="U235" s="41"/>
      <c r="V235" s="41">
        <f>P235-17</f>
        <v>4241</v>
      </c>
      <c r="W235" s="41">
        <f>Q235-17</f>
        <v>4224</v>
      </c>
      <c r="X235" s="41">
        <f>R235-17</f>
        <v>4224</v>
      </c>
      <c r="Y235" s="41">
        <f>S235-17</f>
        <v>4224</v>
      </c>
      <c r="Z235" s="41">
        <f>T235-17</f>
        <v>4224</v>
      </c>
      <c r="AA235" s="41"/>
      <c r="AB235" s="41">
        <f>V235-17</f>
        <v>4224</v>
      </c>
      <c r="AC235" s="41">
        <f>W235-17</f>
        <v>4207</v>
      </c>
      <c r="AD235" s="41">
        <f>X235-17</f>
        <v>4207</v>
      </c>
      <c r="AE235" s="41">
        <f>Y235-17</f>
        <v>4207</v>
      </c>
      <c r="AF235" s="41">
        <f>Z235-17</f>
        <v>4207</v>
      </c>
      <c r="AG235" s="41"/>
      <c r="AH235" s="41">
        <f>AB235-17</f>
        <v>4207</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52"/>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2"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286"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286"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286"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286"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284"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284"/>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284"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284"/>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284"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284"/>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10"/>
      <c r="D256" s="9"/>
    </row>
  </sheetData>
  <mergeCells count="2948">
    <mergeCell ref="AH253:AH254"/>
    <mergeCell ref="AB213:AB214"/>
    <mergeCell ref="J249:J250"/>
    <mergeCell ref="P249:P250"/>
    <mergeCell ref="V249:V250"/>
    <mergeCell ref="AB249:AB250"/>
    <mergeCell ref="AH249:AH250"/>
    <mergeCell ref="J251:J252"/>
    <mergeCell ref="P251:P252"/>
    <mergeCell ref="V251:V252"/>
    <mergeCell ref="AB251:AB252"/>
    <mergeCell ref="AH251:AH252"/>
    <mergeCell ref="R249:R250"/>
    <mergeCell ref="S249:S250"/>
    <mergeCell ref="T249:T250"/>
    <mergeCell ref="W249:W250"/>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AH241:AH242"/>
    <mergeCell ref="J243:J244"/>
    <mergeCell ref="P243:P244"/>
    <mergeCell ref="V243:V244"/>
    <mergeCell ref="AB243:AB244"/>
    <mergeCell ref="AH243:AH244"/>
    <mergeCell ref="AH237:AH238"/>
    <mergeCell ref="J239:J240"/>
    <mergeCell ref="P239:P240"/>
    <mergeCell ref="V239:V240"/>
    <mergeCell ref="AB239:AB240"/>
    <mergeCell ref="AH239:AH240"/>
    <mergeCell ref="L237:L238"/>
    <mergeCell ref="M237:M238"/>
    <mergeCell ref="N237:N238"/>
    <mergeCell ref="Q237:Q238"/>
    <mergeCell ref="AC239:AC240"/>
    <mergeCell ref="AD239:AD240"/>
    <mergeCell ref="AE239:AE240"/>
    <mergeCell ref="AF239:AF240"/>
    <mergeCell ref="AD241:AD242"/>
    <mergeCell ref="AE241:AE242"/>
    <mergeCell ref="AF241:AF242"/>
    <mergeCell ref="AD243:AD244"/>
    <mergeCell ref="AE243:AE244"/>
    <mergeCell ref="AF243:AF244"/>
    <mergeCell ref="M222:N222"/>
    <mergeCell ref="S222:T222"/>
    <mergeCell ref="Y222:Z222"/>
    <mergeCell ref="AE222:AF222"/>
    <mergeCell ref="J237:J238"/>
    <mergeCell ref="P237:P238"/>
    <mergeCell ref="V237:V238"/>
    <mergeCell ref="AB237:AB238"/>
    <mergeCell ref="K237:K238"/>
    <mergeCell ref="J215:J216"/>
    <mergeCell ref="P215:P216"/>
    <mergeCell ref="V215:V216"/>
    <mergeCell ref="AB215:AB216"/>
    <mergeCell ref="AH215:AH216"/>
    <mergeCell ref="J217:J218"/>
    <mergeCell ref="P217:P218"/>
    <mergeCell ref="V217:V218"/>
    <mergeCell ref="AB217:AB218"/>
    <mergeCell ref="AH217:AH218"/>
    <mergeCell ref="K217:K218"/>
    <mergeCell ref="L217:L218"/>
    <mergeCell ref="M217:M218"/>
    <mergeCell ref="N217:N218"/>
    <mergeCell ref="Q217:Q218"/>
    <mergeCell ref="R217:R218"/>
    <mergeCell ref="S217:S218"/>
    <mergeCell ref="T217:T218"/>
    <mergeCell ref="X215:X216"/>
    <mergeCell ref="Y215:Y216"/>
    <mergeCell ref="Z215:Z216"/>
    <mergeCell ref="W217:W218"/>
    <mergeCell ref="X217:X218"/>
    <mergeCell ref="J210:J211"/>
    <mergeCell ref="P210:P211"/>
    <mergeCell ref="V210:V211"/>
    <mergeCell ref="AB210:AB211"/>
    <mergeCell ref="AH210:AH211"/>
    <mergeCell ref="D213:D214"/>
    <mergeCell ref="J213:J214"/>
    <mergeCell ref="P213:P214"/>
    <mergeCell ref="V213:V214"/>
    <mergeCell ref="AH213:AH214"/>
    <mergeCell ref="J206:J207"/>
    <mergeCell ref="P206:P207"/>
    <mergeCell ref="V206:V207"/>
    <mergeCell ref="AB206:AB207"/>
    <mergeCell ref="AH206:AH207"/>
    <mergeCell ref="J208:J209"/>
    <mergeCell ref="P208:P209"/>
    <mergeCell ref="V208:V209"/>
    <mergeCell ref="AB208:AB209"/>
    <mergeCell ref="AH208:AH209"/>
    <mergeCell ref="E206:E207"/>
    <mergeCell ref="F206:F207"/>
    <mergeCell ref="G206:G207"/>
    <mergeCell ref="H206:H207"/>
    <mergeCell ref="E208:E209"/>
    <mergeCell ref="F208:F209"/>
    <mergeCell ref="G208:G209"/>
    <mergeCell ref="H208:H209"/>
    <mergeCell ref="E210:E211"/>
    <mergeCell ref="F210:F211"/>
    <mergeCell ref="G210:G211"/>
    <mergeCell ref="H210:H211"/>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H204:H205"/>
    <mergeCell ref="AE200:AE201"/>
    <mergeCell ref="AE202:AE203"/>
    <mergeCell ref="AE204:AE205"/>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AE196:AE197"/>
    <mergeCell ref="AE198:AE199"/>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AD185:AD186"/>
    <mergeCell ref="AE185:AE186"/>
    <mergeCell ref="AF185:AF186"/>
    <mergeCell ref="AD187:AD188"/>
    <mergeCell ref="AE187:AE188"/>
    <mergeCell ref="AF187:AF18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D179:AD180"/>
    <mergeCell ref="AE179:AE180"/>
    <mergeCell ref="AF179:AF18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9:AD160"/>
    <mergeCell ref="AE159:AE160"/>
    <mergeCell ref="AF159:AF160"/>
    <mergeCell ref="AD161:AD162"/>
    <mergeCell ref="AE161:AE162"/>
    <mergeCell ref="AF161:AF162"/>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AA148:AA149"/>
    <mergeCell ref="AC148:AC149"/>
    <mergeCell ref="AD148:AD149"/>
    <mergeCell ref="AE148:AE149"/>
    <mergeCell ref="AF148:AF149"/>
    <mergeCell ref="AG148:AG149"/>
    <mergeCell ref="Y150:Y151"/>
    <mergeCell ref="Z150:Z151"/>
    <mergeCell ref="AA150:AA151"/>
    <mergeCell ref="AC150:AC151"/>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AG137:AG138"/>
    <mergeCell ref="Y139:Y140"/>
    <mergeCell ref="Z139:Z140"/>
    <mergeCell ref="AA139:AA140"/>
    <mergeCell ref="AC139:AC140"/>
    <mergeCell ref="AD139:AD140"/>
    <mergeCell ref="AE139:AE140"/>
    <mergeCell ref="AF139:AF140"/>
    <mergeCell ref="AG139:AG140"/>
    <mergeCell ref="Y141:Y142"/>
    <mergeCell ref="Z141:Z142"/>
    <mergeCell ref="AA141:AA142"/>
    <mergeCell ref="V133:V134"/>
    <mergeCell ref="AB133:AB134"/>
    <mergeCell ref="AH133:AH134"/>
    <mergeCell ref="J135:J136"/>
    <mergeCell ref="P135:P136"/>
    <mergeCell ref="V135:V136"/>
    <mergeCell ref="AB135:AB136"/>
    <mergeCell ref="AH135:AH136"/>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Y125:Y126"/>
    <mergeCell ref="Z125:Z126"/>
    <mergeCell ref="AA125:AA126"/>
    <mergeCell ref="AB125:AB126"/>
    <mergeCell ref="AC125:AC126"/>
    <mergeCell ref="AD125:AD126"/>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6:AD107"/>
    <mergeCell ref="AE106:AE107"/>
    <mergeCell ref="AF106:AF107"/>
    <mergeCell ref="AD110:AD111"/>
    <mergeCell ref="AE110:AE111"/>
    <mergeCell ref="AF110:AF111"/>
    <mergeCell ref="AD112:AD113"/>
    <mergeCell ref="AE112:AE113"/>
    <mergeCell ref="AF112:AF113"/>
    <mergeCell ref="J100:J101"/>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M96:M97"/>
    <mergeCell ref="N96:N97"/>
    <mergeCell ref="Q96:Q97"/>
    <mergeCell ref="E98:E99"/>
    <mergeCell ref="F98:F99"/>
    <mergeCell ref="G98:G99"/>
    <mergeCell ref="H98:H99"/>
    <mergeCell ref="K98:K99"/>
    <mergeCell ref="L98:L99"/>
    <mergeCell ref="M98:M99"/>
    <mergeCell ref="N98:N99"/>
    <mergeCell ref="Q98:Q99"/>
    <mergeCell ref="R98:R99"/>
    <mergeCell ref="S98:S99"/>
    <mergeCell ref="T98:T99"/>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AD85:AD86"/>
    <mergeCell ref="AE85:AE86"/>
    <mergeCell ref="AF85:AF86"/>
    <mergeCell ref="AD87:AD88"/>
    <mergeCell ref="AE87:AE88"/>
    <mergeCell ref="AF87:AF88"/>
    <mergeCell ref="D74:D75"/>
    <mergeCell ref="J74:J75"/>
    <mergeCell ref="P74:P75"/>
    <mergeCell ref="V74:V75"/>
    <mergeCell ref="AB74:AB75"/>
    <mergeCell ref="AH74:AH75"/>
    <mergeCell ref="Q74:Q75"/>
    <mergeCell ref="R74:R75"/>
    <mergeCell ref="S74:S75"/>
    <mergeCell ref="T74:T75"/>
    <mergeCell ref="D71:D72"/>
    <mergeCell ref="J71:J72"/>
    <mergeCell ref="P71:P72"/>
    <mergeCell ref="V71:V72"/>
    <mergeCell ref="AB71:AB72"/>
    <mergeCell ref="AH71:AH72"/>
    <mergeCell ref="Q71:Q72"/>
    <mergeCell ref="R71:R72"/>
    <mergeCell ref="S71:S72"/>
    <mergeCell ref="T71:T72"/>
    <mergeCell ref="E74:E75"/>
    <mergeCell ref="F74:F75"/>
    <mergeCell ref="G74:G75"/>
    <mergeCell ref="H74:H75"/>
    <mergeCell ref="K74:K75"/>
    <mergeCell ref="L74:L75"/>
    <mergeCell ref="M74:M75"/>
    <mergeCell ref="N74:N75"/>
    <mergeCell ref="W74:W75"/>
    <mergeCell ref="X74:X75"/>
    <mergeCell ref="Y74:Y75"/>
    <mergeCell ref="Z74:Z75"/>
    <mergeCell ref="D69:D70"/>
    <mergeCell ref="J69:J70"/>
    <mergeCell ref="P69:P70"/>
    <mergeCell ref="V69:V70"/>
    <mergeCell ref="AB69:AB70"/>
    <mergeCell ref="AH69:AH70"/>
    <mergeCell ref="Q69:Q70"/>
    <mergeCell ref="R69:R70"/>
    <mergeCell ref="S69:S70"/>
    <mergeCell ref="T69:T70"/>
    <mergeCell ref="D67:D68"/>
    <mergeCell ref="J67:J68"/>
    <mergeCell ref="P67:P68"/>
    <mergeCell ref="V67:V68"/>
    <mergeCell ref="AB67:AB68"/>
    <mergeCell ref="AH67:AH68"/>
    <mergeCell ref="Q67:Q68"/>
    <mergeCell ref="R67:R68"/>
    <mergeCell ref="S67:S68"/>
    <mergeCell ref="T67:T68"/>
    <mergeCell ref="E69:E70"/>
    <mergeCell ref="F69:F70"/>
    <mergeCell ref="G69:G70"/>
    <mergeCell ref="H69:H70"/>
    <mergeCell ref="K69:K70"/>
    <mergeCell ref="L69:L70"/>
    <mergeCell ref="M69:M70"/>
    <mergeCell ref="N69:N70"/>
    <mergeCell ref="W69:W70"/>
    <mergeCell ref="X69:X70"/>
    <mergeCell ref="Y69:Y70"/>
    <mergeCell ref="Z69:Z70"/>
    <mergeCell ref="D65:D66"/>
    <mergeCell ref="J65:J66"/>
    <mergeCell ref="P65:P66"/>
    <mergeCell ref="V65:V66"/>
    <mergeCell ref="AB65:AB66"/>
    <mergeCell ref="AH65:AH66"/>
    <mergeCell ref="Q65:Q66"/>
    <mergeCell ref="R65:R66"/>
    <mergeCell ref="S65:S66"/>
    <mergeCell ref="T65:T66"/>
    <mergeCell ref="D63:D64"/>
    <mergeCell ref="J63:J64"/>
    <mergeCell ref="P63:P64"/>
    <mergeCell ref="V63:V64"/>
    <mergeCell ref="AB63:AB64"/>
    <mergeCell ref="AH63:AH64"/>
    <mergeCell ref="Q63:Q64"/>
    <mergeCell ref="R63:R64"/>
    <mergeCell ref="S63:S64"/>
    <mergeCell ref="T63:T64"/>
    <mergeCell ref="E65:E66"/>
    <mergeCell ref="F65:F66"/>
    <mergeCell ref="G65:G66"/>
    <mergeCell ref="H65:H66"/>
    <mergeCell ref="K65:K66"/>
    <mergeCell ref="L65:L66"/>
    <mergeCell ref="M65:M66"/>
    <mergeCell ref="N65:N66"/>
    <mergeCell ref="W65:W66"/>
    <mergeCell ref="X65:X66"/>
    <mergeCell ref="Y65:Y66"/>
    <mergeCell ref="Z65:Z66"/>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H56:AH57"/>
    <mergeCell ref="D54:D55"/>
    <mergeCell ref="I54:I55"/>
    <mergeCell ref="J54:J55"/>
    <mergeCell ref="P54:P55"/>
    <mergeCell ref="V54:V55"/>
    <mergeCell ref="AB54:AB55"/>
    <mergeCell ref="Q54:Q55"/>
    <mergeCell ref="R54:R55"/>
    <mergeCell ref="E56:E57"/>
    <mergeCell ref="F56:F57"/>
    <mergeCell ref="G56:G57"/>
    <mergeCell ref="AH50:AH51"/>
    <mergeCell ref="D52:D53"/>
    <mergeCell ref="I52:I53"/>
    <mergeCell ref="J52:J53"/>
    <mergeCell ref="P52:P53"/>
    <mergeCell ref="V52:V53"/>
    <mergeCell ref="AB52:AB53"/>
    <mergeCell ref="AH52:AH53"/>
    <mergeCell ref="D50:D51"/>
    <mergeCell ref="I50:I51"/>
    <mergeCell ref="J50:J51"/>
    <mergeCell ref="P50:P51"/>
    <mergeCell ref="V50:V51"/>
    <mergeCell ref="AB50:AB51"/>
    <mergeCell ref="AH46:AH47"/>
    <mergeCell ref="D48:D49"/>
    <mergeCell ref="I48:I49"/>
    <mergeCell ref="J48:J49"/>
    <mergeCell ref="P48:P49"/>
    <mergeCell ref="V48:V49"/>
    <mergeCell ref="AH48:AH49"/>
    <mergeCell ref="D46:D47"/>
    <mergeCell ref="I46:I47"/>
    <mergeCell ref="J46:J47"/>
    <mergeCell ref="P46:P47"/>
    <mergeCell ref="V46:V47"/>
    <mergeCell ref="AB46:AB47"/>
    <mergeCell ref="Q46:Q47"/>
    <mergeCell ref="R46:R47"/>
    <mergeCell ref="E46:E47"/>
    <mergeCell ref="F46:F47"/>
    <mergeCell ref="G46:G47"/>
    <mergeCell ref="AH42:AH43"/>
    <mergeCell ref="D44:D45"/>
    <mergeCell ref="I44:I45"/>
    <mergeCell ref="J44:J45"/>
    <mergeCell ref="P44:P45"/>
    <mergeCell ref="V44:V45"/>
    <mergeCell ref="AB44:AB45"/>
    <mergeCell ref="AH44:AH45"/>
    <mergeCell ref="D42:D43"/>
    <mergeCell ref="I42:I43"/>
    <mergeCell ref="J42:J43"/>
    <mergeCell ref="P42:P43"/>
    <mergeCell ref="V42:V43"/>
    <mergeCell ref="AB42:AB43"/>
    <mergeCell ref="AH37:AH38"/>
    <mergeCell ref="D40:D41"/>
    <mergeCell ref="I40:I41"/>
    <mergeCell ref="J40:J41"/>
    <mergeCell ref="P40:P41"/>
    <mergeCell ref="V40:V41"/>
    <mergeCell ref="U37:U38"/>
    <mergeCell ref="W37:W38"/>
    <mergeCell ref="X37:X38"/>
    <mergeCell ref="Y37:Y38"/>
    <mergeCell ref="Z37:Z38"/>
    <mergeCell ref="AA37:AA38"/>
    <mergeCell ref="AC37:AC38"/>
    <mergeCell ref="AD37:AD38"/>
    <mergeCell ref="AE37:AE38"/>
    <mergeCell ref="AF37:AF38"/>
    <mergeCell ref="AG37:AG38"/>
    <mergeCell ref="Q42:Q43"/>
    <mergeCell ref="AH35:AH36"/>
    <mergeCell ref="AB40:AB41"/>
    <mergeCell ref="AH40:AH41"/>
    <mergeCell ref="D37:D38"/>
    <mergeCell ref="J37:J38"/>
    <mergeCell ref="O37:O38"/>
    <mergeCell ref="P37:P38"/>
    <mergeCell ref="V37:V38"/>
    <mergeCell ref="AB37:AB38"/>
    <mergeCell ref="D35:D36"/>
    <mergeCell ref="I35:I36"/>
    <mergeCell ref="J35:J36"/>
    <mergeCell ref="O35:O36"/>
    <mergeCell ref="P35:P36"/>
    <mergeCell ref="V35:V36"/>
    <mergeCell ref="N35:N36"/>
    <mergeCell ref="Q35:Q36"/>
    <mergeCell ref="R35:R36"/>
    <mergeCell ref="S35:S36"/>
    <mergeCell ref="E37:E38"/>
    <mergeCell ref="F37:F38"/>
    <mergeCell ref="G37:G38"/>
    <mergeCell ref="H37:H38"/>
    <mergeCell ref="I37:I38"/>
    <mergeCell ref="K37:K38"/>
    <mergeCell ref="L37:L38"/>
    <mergeCell ref="M37:M38"/>
    <mergeCell ref="N37:N38"/>
    <mergeCell ref="Q37:Q38"/>
    <mergeCell ref="R37:R38"/>
    <mergeCell ref="S37:S38"/>
    <mergeCell ref="T37:T38"/>
    <mergeCell ref="AH31:AH32"/>
    <mergeCell ref="D33:D34"/>
    <mergeCell ref="I33:I34"/>
    <mergeCell ref="J33:J34"/>
    <mergeCell ref="O33:O34"/>
    <mergeCell ref="P33:P34"/>
    <mergeCell ref="V33:V34"/>
    <mergeCell ref="AB33:AB34"/>
    <mergeCell ref="AH33:AH34"/>
    <mergeCell ref="D31:D32"/>
    <mergeCell ref="I31:I32"/>
    <mergeCell ref="J31:J32"/>
    <mergeCell ref="O31:O32"/>
    <mergeCell ref="P31:P32"/>
    <mergeCell ref="V31:V32"/>
    <mergeCell ref="L31:L32"/>
    <mergeCell ref="M31:M32"/>
    <mergeCell ref="N31:N32"/>
    <mergeCell ref="Q31:Q32"/>
    <mergeCell ref="E33:E34"/>
    <mergeCell ref="F33:F34"/>
    <mergeCell ref="G33:G34"/>
    <mergeCell ref="H33:H34"/>
    <mergeCell ref="K33:K34"/>
    <mergeCell ref="L33:L34"/>
    <mergeCell ref="M33:M34"/>
    <mergeCell ref="N33:N34"/>
    <mergeCell ref="Q33:Q34"/>
    <mergeCell ref="R33:R34"/>
    <mergeCell ref="S33:S34"/>
    <mergeCell ref="T33:T34"/>
    <mergeCell ref="U33:U34"/>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N27:N28"/>
    <mergeCell ref="Q27:Q28"/>
    <mergeCell ref="R27:R28"/>
    <mergeCell ref="S27:S28"/>
    <mergeCell ref="E29:E30"/>
    <mergeCell ref="F29:F30"/>
    <mergeCell ref="G29:G30"/>
    <mergeCell ref="H29:H30"/>
    <mergeCell ref="K29:K30"/>
    <mergeCell ref="L29:L30"/>
    <mergeCell ref="M29:M30"/>
    <mergeCell ref="N29:N30"/>
    <mergeCell ref="Q29:Q30"/>
    <mergeCell ref="R29:R30"/>
    <mergeCell ref="S29:S30"/>
    <mergeCell ref="T29:T30"/>
    <mergeCell ref="U29:U30"/>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L23:L24"/>
    <mergeCell ref="M23:M24"/>
    <mergeCell ref="N23:N24"/>
    <mergeCell ref="Q23:Q24"/>
    <mergeCell ref="E25:E26"/>
    <mergeCell ref="F25:F26"/>
    <mergeCell ref="G25:G26"/>
    <mergeCell ref="H25:H26"/>
    <mergeCell ref="K25:K26"/>
    <mergeCell ref="L25:L26"/>
    <mergeCell ref="M25:M26"/>
    <mergeCell ref="N25:N26"/>
    <mergeCell ref="Q25:Q26"/>
    <mergeCell ref="R25:R26"/>
    <mergeCell ref="S25:S26"/>
    <mergeCell ref="T25:T26"/>
    <mergeCell ref="U25:U26"/>
    <mergeCell ref="AH19:AH20"/>
    <mergeCell ref="D21:D22"/>
    <mergeCell ref="I21:I22"/>
    <mergeCell ref="J21:J22"/>
    <mergeCell ref="O21:O22"/>
    <mergeCell ref="P21:P22"/>
    <mergeCell ref="V21:V22"/>
    <mergeCell ref="AB21:AB22"/>
    <mergeCell ref="AH21:AH22"/>
    <mergeCell ref="I19:I20"/>
    <mergeCell ref="J19:J20"/>
    <mergeCell ref="O19:O20"/>
    <mergeCell ref="P19:P20"/>
    <mergeCell ref="V19:V20"/>
    <mergeCell ref="N19:N20"/>
    <mergeCell ref="Q19:Q20"/>
    <mergeCell ref="R19:R20"/>
    <mergeCell ref="S19:S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AH15:AH16"/>
    <mergeCell ref="D17:D18"/>
    <mergeCell ref="I17:I18"/>
    <mergeCell ref="J17:J18"/>
    <mergeCell ref="O17:O18"/>
    <mergeCell ref="P17:P18"/>
    <mergeCell ref="V17:V18"/>
    <mergeCell ref="AB17:AB18"/>
    <mergeCell ref="AH17:AH18"/>
    <mergeCell ref="G15:G16"/>
    <mergeCell ref="AC10:AG10"/>
    <mergeCell ref="W11:AA11"/>
    <mergeCell ref="AC11:AG11"/>
    <mergeCell ref="D15:D16"/>
    <mergeCell ref="I15:I16"/>
    <mergeCell ref="J15:J16"/>
    <mergeCell ref="O15:O16"/>
    <mergeCell ref="P15:P16"/>
    <mergeCell ref="V15:V16"/>
    <mergeCell ref="AB15:AB16"/>
    <mergeCell ref="AD15:AD16"/>
    <mergeCell ref="AE15:AE16"/>
    <mergeCell ref="AF15:AF16"/>
    <mergeCell ref="AG15:AG16"/>
    <mergeCell ref="U17:U18"/>
    <mergeCell ref="W17:W18"/>
    <mergeCell ref="X17:X18"/>
    <mergeCell ref="Y17:Y18"/>
    <mergeCell ref="Z17:Z18"/>
    <mergeCell ref="AA17:AA18"/>
    <mergeCell ref="AC17:AC18"/>
    <mergeCell ref="AD17:AD18"/>
    <mergeCell ref="B118:B123"/>
    <mergeCell ref="C148:C149"/>
    <mergeCell ref="C118:C119"/>
    <mergeCell ref="Y5:Y6"/>
    <mergeCell ref="E10:I10"/>
    <mergeCell ref="K10:P10"/>
    <mergeCell ref="Q10:V10"/>
    <mergeCell ref="W10:AA10"/>
    <mergeCell ref="F15:F16"/>
    <mergeCell ref="D19:D20"/>
    <mergeCell ref="C83:C84"/>
    <mergeCell ref="B96:B101"/>
    <mergeCell ref="B95:C95"/>
    <mergeCell ref="C89:C90"/>
    <mergeCell ref="C91:C92"/>
    <mergeCell ref="C93:C94"/>
    <mergeCell ref="C122:C123"/>
    <mergeCell ref="D141:D142"/>
    <mergeCell ref="D146:D147"/>
    <mergeCell ref="D148:D149"/>
    <mergeCell ref="E17:E18"/>
    <mergeCell ref="F17:F18"/>
    <mergeCell ref="G17:G18"/>
    <mergeCell ref="H17:H18"/>
    <mergeCell ref="K17:K18"/>
    <mergeCell ref="L17:L18"/>
    <mergeCell ref="M17:M18"/>
    <mergeCell ref="N17:N18"/>
    <mergeCell ref="Q17:Q18"/>
    <mergeCell ref="R17:R18"/>
    <mergeCell ref="S17:S18"/>
    <mergeCell ref="T17:T18"/>
    <mergeCell ref="C150:C151"/>
    <mergeCell ref="C120:C121"/>
    <mergeCell ref="B152:C152"/>
    <mergeCell ref="B137:B142"/>
    <mergeCell ref="C15:C16"/>
    <mergeCell ref="C25:C26"/>
    <mergeCell ref="B27:B32"/>
    <mergeCell ref="C23:C24"/>
    <mergeCell ref="C54:C55"/>
    <mergeCell ref="A59:A72"/>
    <mergeCell ref="B71:C72"/>
    <mergeCell ref="C181:C182"/>
    <mergeCell ref="B183:B188"/>
    <mergeCell ref="C185:C186"/>
    <mergeCell ref="C187:C188"/>
    <mergeCell ref="B165:B170"/>
    <mergeCell ref="B177:B182"/>
    <mergeCell ref="C139:C140"/>
    <mergeCell ref="C183:C184"/>
    <mergeCell ref="A15:A38"/>
    <mergeCell ref="B33:B38"/>
    <mergeCell ref="C33:C34"/>
    <mergeCell ref="C35:C36"/>
    <mergeCell ref="C37:C38"/>
    <mergeCell ref="C21:C22"/>
    <mergeCell ref="C44:C45"/>
    <mergeCell ref="C27:C28"/>
    <mergeCell ref="C31:C32"/>
    <mergeCell ref="C17:C18"/>
    <mergeCell ref="C161:C162"/>
    <mergeCell ref="C133:C134"/>
    <mergeCell ref="B131:B136"/>
    <mergeCell ref="C202:C203"/>
    <mergeCell ref="C98:C99"/>
    <mergeCell ref="C19:C20"/>
    <mergeCell ref="C165:C166"/>
    <mergeCell ref="C177:C178"/>
    <mergeCell ref="C96:C97"/>
    <mergeCell ref="B15:B20"/>
    <mergeCell ref="C42:C43"/>
    <mergeCell ref="C56:C57"/>
    <mergeCell ref="B67:C68"/>
    <mergeCell ref="C29:C30"/>
    <mergeCell ref="B21:B26"/>
    <mergeCell ref="B46:B51"/>
    <mergeCell ref="B59:C60"/>
    <mergeCell ref="B61:C62"/>
    <mergeCell ref="B65:C66"/>
    <mergeCell ref="A4:C4"/>
    <mergeCell ref="A7:C7"/>
    <mergeCell ref="A5:B5"/>
    <mergeCell ref="A6:B6"/>
    <mergeCell ref="A190:A193"/>
    <mergeCell ref="C171:C172"/>
    <mergeCell ref="C153:C154"/>
    <mergeCell ref="C155:C156"/>
    <mergeCell ref="C179:C180"/>
    <mergeCell ref="C167:C168"/>
    <mergeCell ref="C157:C158"/>
    <mergeCell ref="B171:B176"/>
    <mergeCell ref="A153:A188"/>
    <mergeCell ref="C159:C160"/>
    <mergeCell ref="C127:C128"/>
    <mergeCell ref="B153:B158"/>
    <mergeCell ref="A2:R2"/>
    <mergeCell ref="B10:B12"/>
    <mergeCell ref="C10:C12"/>
    <mergeCell ref="E11:J11"/>
    <mergeCell ref="K11:O11"/>
    <mergeCell ref="Q11:U11"/>
    <mergeCell ref="A74:A79"/>
    <mergeCell ref="B74:C75"/>
    <mergeCell ref="A40:A57"/>
    <mergeCell ref="B40:B45"/>
    <mergeCell ref="C40:C41"/>
    <mergeCell ref="C46:C47"/>
    <mergeCell ref="B77:C77"/>
    <mergeCell ref="B76:C76"/>
    <mergeCell ref="C48:C49"/>
    <mergeCell ref="B63:C64"/>
    <mergeCell ref="C146:C147"/>
    <mergeCell ref="B146:B151"/>
    <mergeCell ref="A82:A107"/>
    <mergeCell ref="C85:C86"/>
    <mergeCell ref="C87:C88"/>
    <mergeCell ref="B125:B130"/>
    <mergeCell ref="B89:B94"/>
    <mergeCell ref="B143:B145"/>
    <mergeCell ref="C129:C130"/>
    <mergeCell ref="C141:C142"/>
    <mergeCell ref="C135:C136"/>
    <mergeCell ref="B109:C109"/>
    <mergeCell ref="B110:C111"/>
    <mergeCell ref="B112:B117"/>
    <mergeCell ref="C114:C115"/>
    <mergeCell ref="C116:C117"/>
    <mergeCell ref="A226:A235"/>
    <mergeCell ref="C169:C170"/>
    <mergeCell ref="C173:C174"/>
    <mergeCell ref="C175:C176"/>
    <mergeCell ref="C125:C126"/>
    <mergeCell ref="B208:C209"/>
    <mergeCell ref="C163:C164"/>
    <mergeCell ref="B159:B164"/>
    <mergeCell ref="C253:C254"/>
    <mergeCell ref="C249:C250"/>
    <mergeCell ref="B249:B254"/>
    <mergeCell ref="C251:C252"/>
    <mergeCell ref="B196:C197"/>
    <mergeCell ref="B198:C199"/>
    <mergeCell ref="C206:C207"/>
    <mergeCell ref="B202:B207"/>
    <mergeCell ref="C204:C205"/>
    <mergeCell ref="B200:C201"/>
    <mergeCell ref="B230:C231"/>
    <mergeCell ref="C241:C242"/>
    <mergeCell ref="C247:C248"/>
    <mergeCell ref="A237:A254"/>
    <mergeCell ref="B237:B242"/>
    <mergeCell ref="C222:C223"/>
    <mergeCell ref="B228:C229"/>
    <mergeCell ref="B243:B248"/>
    <mergeCell ref="C245:C246"/>
    <mergeCell ref="C243:C244"/>
    <mergeCell ref="A222:A223"/>
    <mergeCell ref="B222:B223"/>
    <mergeCell ref="A196:A211"/>
    <mergeCell ref="A213:A218"/>
    <mergeCell ref="A109:A123"/>
    <mergeCell ref="C112:C113"/>
    <mergeCell ref="B83:B88"/>
    <mergeCell ref="C131:C132"/>
    <mergeCell ref="A125:A151"/>
    <mergeCell ref="C137:C138"/>
    <mergeCell ref="C100:C101"/>
    <mergeCell ref="B69:C70"/>
    <mergeCell ref="C50:C51"/>
    <mergeCell ref="C52:C53"/>
    <mergeCell ref="B78:C79"/>
    <mergeCell ref="B52:B57"/>
    <mergeCell ref="B102:B107"/>
    <mergeCell ref="C102:C103"/>
    <mergeCell ref="C104:C105"/>
    <mergeCell ref="C106:C107"/>
    <mergeCell ref="B73:AH73"/>
    <mergeCell ref="D118:D119"/>
    <mergeCell ref="D120:D121"/>
    <mergeCell ref="D122:D123"/>
    <mergeCell ref="D125:D126"/>
    <mergeCell ref="B124:AH124"/>
    <mergeCell ref="E125:E126"/>
    <mergeCell ref="F125:F126"/>
    <mergeCell ref="G125:G126"/>
    <mergeCell ref="D127:D128"/>
    <mergeCell ref="D129:D130"/>
    <mergeCell ref="D131:D132"/>
    <mergeCell ref="D133:D134"/>
    <mergeCell ref="D135:D136"/>
    <mergeCell ref="D137:D138"/>
    <mergeCell ref="D139:D140"/>
    <mergeCell ref="B210:C211"/>
    <mergeCell ref="B213:C214"/>
    <mergeCell ref="B217:C218"/>
    <mergeCell ref="B190:C191"/>
    <mergeCell ref="C239:C240"/>
    <mergeCell ref="B232:C233"/>
    <mergeCell ref="B234:C235"/>
    <mergeCell ref="B215:C216"/>
    <mergeCell ref="B226:C227"/>
    <mergeCell ref="B192:C193"/>
    <mergeCell ref="D78:D79"/>
    <mergeCell ref="D83:D84"/>
    <mergeCell ref="D85:D86"/>
    <mergeCell ref="D87:D88"/>
    <mergeCell ref="D89:D90"/>
    <mergeCell ref="D91:D92"/>
    <mergeCell ref="B81:AH81"/>
    <mergeCell ref="B80:AH80"/>
    <mergeCell ref="Q78:Q79"/>
    <mergeCell ref="R78:R79"/>
    <mergeCell ref="D93:D94"/>
    <mergeCell ref="D102:D103"/>
    <mergeCell ref="D104:D105"/>
    <mergeCell ref="D106:D107"/>
    <mergeCell ref="D110:D111"/>
    <mergeCell ref="D112:D113"/>
    <mergeCell ref="D100:D101"/>
    <mergeCell ref="B108:AH108"/>
    <mergeCell ref="Q93:Q94"/>
    <mergeCell ref="R93:R94"/>
    <mergeCell ref="D114:D115"/>
    <mergeCell ref="D116:D117"/>
    <mergeCell ref="D150:D151"/>
    <mergeCell ref="D153:D154"/>
    <mergeCell ref="D155:D156"/>
    <mergeCell ref="D157:D158"/>
    <mergeCell ref="D159:D160"/>
    <mergeCell ref="D161:D162"/>
    <mergeCell ref="D183:D184"/>
    <mergeCell ref="D185:D186"/>
    <mergeCell ref="D163:D164"/>
    <mergeCell ref="D165:D166"/>
    <mergeCell ref="D167:D168"/>
    <mergeCell ref="D169:D170"/>
    <mergeCell ref="D171:D172"/>
    <mergeCell ref="D173:D174"/>
    <mergeCell ref="D251:D252"/>
    <mergeCell ref="D253:D254"/>
    <mergeCell ref="D192:D193"/>
    <mergeCell ref="D237:D238"/>
    <mergeCell ref="D239:D240"/>
    <mergeCell ref="D241:D242"/>
    <mergeCell ref="D196:D197"/>
    <mergeCell ref="D206:D207"/>
    <mergeCell ref="D210:D211"/>
    <mergeCell ref="D215:D216"/>
    <mergeCell ref="D243:D244"/>
    <mergeCell ref="D245:D246"/>
    <mergeCell ref="D187:D188"/>
    <mergeCell ref="D190:D191"/>
    <mergeCell ref="D247:D248"/>
    <mergeCell ref="D249:D250"/>
    <mergeCell ref="D198:D199"/>
    <mergeCell ref="D208:D209"/>
    <mergeCell ref="A3:S3"/>
    <mergeCell ref="A8:R8"/>
    <mergeCell ref="B225:AH225"/>
    <mergeCell ref="B195:AH195"/>
    <mergeCell ref="B194:AH194"/>
    <mergeCell ref="B189:AH189"/>
    <mergeCell ref="B58:AH58"/>
    <mergeCell ref="B39:AH39"/>
    <mergeCell ref="B14:AH14"/>
    <mergeCell ref="B236:AH236"/>
    <mergeCell ref="B212:AH212"/>
    <mergeCell ref="D175:D176"/>
    <mergeCell ref="D177:D178"/>
    <mergeCell ref="D179:D180"/>
    <mergeCell ref="D181:D182"/>
    <mergeCell ref="E15:E16"/>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A15:AA16"/>
    <mergeCell ref="AC15:AC16"/>
    <mergeCell ref="AE17:AE18"/>
    <mergeCell ref="AF17:AF18"/>
    <mergeCell ref="AG17:AG18"/>
    <mergeCell ref="E19:E20"/>
    <mergeCell ref="F19:F20"/>
    <mergeCell ref="G19:G20"/>
    <mergeCell ref="H19:H20"/>
    <mergeCell ref="K19:K20"/>
    <mergeCell ref="L19:L20"/>
    <mergeCell ref="M19:M20"/>
    <mergeCell ref="T19:T20"/>
    <mergeCell ref="U19:U20"/>
    <mergeCell ref="W19:W20"/>
    <mergeCell ref="X19:X20"/>
    <mergeCell ref="Y19:Y20"/>
    <mergeCell ref="Z19:Z20"/>
    <mergeCell ref="AA19:AA20"/>
    <mergeCell ref="AC19:AC20"/>
    <mergeCell ref="AD19:AD20"/>
    <mergeCell ref="AE19:AE20"/>
    <mergeCell ref="AF19:AF20"/>
    <mergeCell ref="AG19:AG20"/>
    <mergeCell ref="AB19:AB20"/>
    <mergeCell ref="X21:X22"/>
    <mergeCell ref="Y21:Y22"/>
    <mergeCell ref="Z21:Z22"/>
    <mergeCell ref="AA21:AA22"/>
    <mergeCell ref="AC21:AC22"/>
    <mergeCell ref="AD21:AD22"/>
    <mergeCell ref="AE21:AE22"/>
    <mergeCell ref="AF21:AF22"/>
    <mergeCell ref="AG21:AG22"/>
    <mergeCell ref="E23:E24"/>
    <mergeCell ref="F23:F24"/>
    <mergeCell ref="G23:G24"/>
    <mergeCell ref="H23:H24"/>
    <mergeCell ref="K23:K24"/>
    <mergeCell ref="R23:R24"/>
    <mergeCell ref="S23:S24"/>
    <mergeCell ref="T23:T24"/>
    <mergeCell ref="U23:U24"/>
    <mergeCell ref="W23:W24"/>
    <mergeCell ref="X23:X24"/>
    <mergeCell ref="Y23:Y24"/>
    <mergeCell ref="Z23:Z24"/>
    <mergeCell ref="AA23:AA24"/>
    <mergeCell ref="AC23:AC24"/>
    <mergeCell ref="AD23:AD24"/>
    <mergeCell ref="AE23:AE24"/>
    <mergeCell ref="AB23:AB24"/>
    <mergeCell ref="AF23:AF24"/>
    <mergeCell ref="AG23:AG24"/>
    <mergeCell ref="W25:W26"/>
    <mergeCell ref="X25:X26"/>
    <mergeCell ref="Y25:Y26"/>
    <mergeCell ref="Z25:Z26"/>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T27:T28"/>
    <mergeCell ref="U27:U28"/>
    <mergeCell ref="W27:W28"/>
    <mergeCell ref="X27:X28"/>
    <mergeCell ref="Y27:Y28"/>
    <mergeCell ref="Z27:Z28"/>
    <mergeCell ref="AA27:AA28"/>
    <mergeCell ref="AC27:AC28"/>
    <mergeCell ref="AD27:AD28"/>
    <mergeCell ref="AE27:AE28"/>
    <mergeCell ref="AF27:AF28"/>
    <mergeCell ref="AG27:AG28"/>
    <mergeCell ref="AB27:AB28"/>
    <mergeCell ref="W29:W30"/>
    <mergeCell ref="X29:X30"/>
    <mergeCell ref="Y29:Y30"/>
    <mergeCell ref="Z29:Z30"/>
    <mergeCell ref="AA29:AA30"/>
    <mergeCell ref="AC29:AC30"/>
    <mergeCell ref="AD29:AD30"/>
    <mergeCell ref="AE29:AE30"/>
    <mergeCell ref="AF29:AF30"/>
    <mergeCell ref="AG29:AG30"/>
    <mergeCell ref="E31:E32"/>
    <mergeCell ref="F31:F32"/>
    <mergeCell ref="G31:G32"/>
    <mergeCell ref="H31:H32"/>
    <mergeCell ref="K31:K32"/>
    <mergeCell ref="R31:R32"/>
    <mergeCell ref="S31:S32"/>
    <mergeCell ref="T31:T32"/>
    <mergeCell ref="U31:U32"/>
    <mergeCell ref="W31:W32"/>
    <mergeCell ref="X31:X32"/>
    <mergeCell ref="Y31:Y32"/>
    <mergeCell ref="Z31:Z32"/>
    <mergeCell ref="AA31:AA32"/>
    <mergeCell ref="AC31:AC32"/>
    <mergeCell ref="AD31:AD32"/>
    <mergeCell ref="AE31:AE32"/>
    <mergeCell ref="AB31:AB32"/>
    <mergeCell ref="AF31:AF32"/>
    <mergeCell ref="AG31:AG32"/>
    <mergeCell ref="Z33:Z34"/>
    <mergeCell ref="AA33:AA34"/>
    <mergeCell ref="AC33:AC34"/>
    <mergeCell ref="AD33:AD34"/>
    <mergeCell ref="AE33:AE34"/>
    <mergeCell ref="AF33:AF34"/>
    <mergeCell ref="AG33:AG34"/>
    <mergeCell ref="E35:E36"/>
    <mergeCell ref="F35:F36"/>
    <mergeCell ref="G35:G36"/>
    <mergeCell ref="H35:H36"/>
    <mergeCell ref="K35:K36"/>
    <mergeCell ref="L35:L36"/>
    <mergeCell ref="M35:M36"/>
    <mergeCell ref="T35:T36"/>
    <mergeCell ref="U35:U36"/>
    <mergeCell ref="W35:W36"/>
    <mergeCell ref="X35:X36"/>
    <mergeCell ref="Y35:Y36"/>
    <mergeCell ref="Z35:Z36"/>
    <mergeCell ref="AA35:AA36"/>
    <mergeCell ref="AC35:AC36"/>
    <mergeCell ref="AD35:AD36"/>
    <mergeCell ref="AE35:AE36"/>
    <mergeCell ref="AF35:AF36"/>
    <mergeCell ref="AG35:AG36"/>
    <mergeCell ref="AB35:AB3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W33:W34"/>
    <mergeCell ref="X33:X34"/>
    <mergeCell ref="Y33:Y34"/>
    <mergeCell ref="P85:P86"/>
    <mergeCell ref="V85:V86"/>
    <mergeCell ref="P110:P111"/>
    <mergeCell ref="V110:V111"/>
    <mergeCell ref="P118:P119"/>
    <mergeCell ref="V118:V119"/>
    <mergeCell ref="AE125:AE126"/>
    <mergeCell ref="AF125:AF126"/>
    <mergeCell ref="AG125:AG126"/>
    <mergeCell ref="AH125:AH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H125:H126"/>
    <mergeCell ref="I125:I126"/>
    <mergeCell ref="J125:J126"/>
    <mergeCell ref="E129:E130"/>
    <mergeCell ref="F129:F130"/>
    <mergeCell ref="G129:G130"/>
    <mergeCell ref="H129:H130"/>
    <mergeCell ref="I129:I130"/>
    <mergeCell ref="K129:K130"/>
    <mergeCell ref="J129:J130"/>
    <mergeCell ref="L129:L130"/>
    <mergeCell ref="M129:M130"/>
    <mergeCell ref="N129:N130"/>
    <mergeCell ref="O129:O130"/>
    <mergeCell ref="Q129:Q130"/>
    <mergeCell ref="R129:R130"/>
    <mergeCell ref="P129:P130"/>
    <mergeCell ref="S129:S130"/>
    <mergeCell ref="T129:T130"/>
    <mergeCell ref="U129:U130"/>
    <mergeCell ref="W129:W130"/>
    <mergeCell ref="X129:X130"/>
    <mergeCell ref="Y129:Y130"/>
    <mergeCell ref="V129:V130"/>
    <mergeCell ref="Z129:Z130"/>
    <mergeCell ref="AA129:AA130"/>
    <mergeCell ref="AC129:AC130"/>
    <mergeCell ref="AD129:AD130"/>
    <mergeCell ref="AE129:AE130"/>
    <mergeCell ref="AF129:AF130"/>
    <mergeCell ref="AB129:AB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J133:J134"/>
    <mergeCell ref="P133:P134"/>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AC141:AC142"/>
    <mergeCell ref="AD141:AD142"/>
    <mergeCell ref="AE141:AE142"/>
    <mergeCell ref="AF141:AF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R40:R41"/>
    <mergeCell ref="S40:S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R42:R43"/>
    <mergeCell ref="S42:S43"/>
    <mergeCell ref="T42:T43"/>
    <mergeCell ref="W42:W43"/>
    <mergeCell ref="X42:X43"/>
    <mergeCell ref="Y42:Y43"/>
    <mergeCell ref="Z42:Z43"/>
    <mergeCell ref="AC42:AC43"/>
    <mergeCell ref="AD42:AD43"/>
    <mergeCell ref="AE42:AE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H46:H47"/>
    <mergeCell ref="K46:K47"/>
    <mergeCell ref="L46:L47"/>
    <mergeCell ref="M46:M47"/>
    <mergeCell ref="N46:N47"/>
    <mergeCell ref="S46:S47"/>
    <mergeCell ref="T46:T47"/>
    <mergeCell ref="W46:W47"/>
    <mergeCell ref="X46:X47"/>
    <mergeCell ref="Y46:Y47"/>
    <mergeCell ref="Z46:Z47"/>
    <mergeCell ref="AC46:AC47"/>
    <mergeCell ref="AD46:AD47"/>
    <mergeCell ref="AE46:AE47"/>
    <mergeCell ref="AF46:AF47"/>
    <mergeCell ref="E48:E49"/>
    <mergeCell ref="F48:F49"/>
    <mergeCell ref="G48:G49"/>
    <mergeCell ref="H48:H49"/>
    <mergeCell ref="K48:K49"/>
    <mergeCell ref="L48:L49"/>
    <mergeCell ref="M48:M49"/>
    <mergeCell ref="N48:N49"/>
    <mergeCell ref="Q48:Q49"/>
    <mergeCell ref="R48:R49"/>
    <mergeCell ref="S48:S49"/>
    <mergeCell ref="T48:T49"/>
    <mergeCell ref="W48:W49"/>
    <mergeCell ref="X48:X49"/>
    <mergeCell ref="Y48:Y49"/>
    <mergeCell ref="Z48:Z49"/>
    <mergeCell ref="AC48:AC49"/>
    <mergeCell ref="AE48:AE49"/>
    <mergeCell ref="AF48:AF49"/>
    <mergeCell ref="E50:E51"/>
    <mergeCell ref="F50:F51"/>
    <mergeCell ref="G50:G51"/>
    <mergeCell ref="H50:H51"/>
    <mergeCell ref="K50:K51"/>
    <mergeCell ref="L50:L51"/>
    <mergeCell ref="M50:M51"/>
    <mergeCell ref="N50:N51"/>
    <mergeCell ref="Q50:Q51"/>
    <mergeCell ref="R50:R51"/>
    <mergeCell ref="S50:S51"/>
    <mergeCell ref="T50:T51"/>
    <mergeCell ref="W50:W51"/>
    <mergeCell ref="X50:X51"/>
    <mergeCell ref="Y50:Y51"/>
    <mergeCell ref="Z50:Z51"/>
    <mergeCell ref="AC50:AC51"/>
    <mergeCell ref="AD50:AD51"/>
    <mergeCell ref="AE50:AE51"/>
    <mergeCell ref="AF50:AF51"/>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48:AD49"/>
    <mergeCell ref="AB48:AB49"/>
    <mergeCell ref="S56:S57"/>
    <mergeCell ref="T56:T57"/>
    <mergeCell ref="W56:W57"/>
    <mergeCell ref="X56:X57"/>
    <mergeCell ref="Y56:Y57"/>
    <mergeCell ref="Z56:Z57"/>
    <mergeCell ref="AC56:AC57"/>
    <mergeCell ref="AD56:AD57"/>
    <mergeCell ref="AB56:AB57"/>
    <mergeCell ref="AE56:AE57"/>
    <mergeCell ref="AD52:AD53"/>
    <mergeCell ref="AE52:AE53"/>
    <mergeCell ref="AF52:AF53"/>
    <mergeCell ref="E54:E55"/>
    <mergeCell ref="F54:F55"/>
    <mergeCell ref="G54:G55"/>
    <mergeCell ref="H54:H55"/>
    <mergeCell ref="K54:K55"/>
    <mergeCell ref="L54:L55"/>
    <mergeCell ref="M54:M55"/>
    <mergeCell ref="N54:N55"/>
    <mergeCell ref="S54:S55"/>
    <mergeCell ref="T54:T55"/>
    <mergeCell ref="W54:W55"/>
    <mergeCell ref="X54:X55"/>
    <mergeCell ref="Y54:Y55"/>
    <mergeCell ref="Z54:Z55"/>
    <mergeCell ref="AC54:AC55"/>
    <mergeCell ref="AD54:AD55"/>
    <mergeCell ref="AE54:AE55"/>
    <mergeCell ref="AF54:AF55"/>
    <mergeCell ref="E52:E53"/>
    <mergeCell ref="X61:X62"/>
    <mergeCell ref="Y61:Y62"/>
    <mergeCell ref="Z61:Z62"/>
    <mergeCell ref="AC61:AC62"/>
    <mergeCell ref="AF56:AF57"/>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H56:H57"/>
    <mergeCell ref="K56:K57"/>
    <mergeCell ref="L56:L57"/>
    <mergeCell ref="M56:M57"/>
    <mergeCell ref="N56:N57"/>
    <mergeCell ref="Q56:Q57"/>
    <mergeCell ref="R56:R57"/>
    <mergeCell ref="AD61:AD62"/>
    <mergeCell ref="AE61:AE62"/>
    <mergeCell ref="AF61:AF62"/>
    <mergeCell ref="E63:E64"/>
    <mergeCell ref="F63:F64"/>
    <mergeCell ref="G63:G64"/>
    <mergeCell ref="H63:H64"/>
    <mergeCell ref="K63:K64"/>
    <mergeCell ref="L63:L64"/>
    <mergeCell ref="M63:M64"/>
    <mergeCell ref="N63:N64"/>
    <mergeCell ref="W63:W64"/>
    <mergeCell ref="X63:X64"/>
    <mergeCell ref="Y63:Y64"/>
    <mergeCell ref="Z63:Z64"/>
    <mergeCell ref="AC63:AC64"/>
    <mergeCell ref="AD63:AD64"/>
    <mergeCell ref="AE63:AE64"/>
    <mergeCell ref="AF63:AF64"/>
    <mergeCell ref="E61:E62"/>
    <mergeCell ref="F61:F62"/>
    <mergeCell ref="G61:G62"/>
    <mergeCell ref="H61:H62"/>
    <mergeCell ref="K61:K62"/>
    <mergeCell ref="L61:L62"/>
    <mergeCell ref="M61:M62"/>
    <mergeCell ref="N61:N62"/>
    <mergeCell ref="Q61:Q62"/>
    <mergeCell ref="R61:R62"/>
    <mergeCell ref="S61:S62"/>
    <mergeCell ref="T61:T62"/>
    <mergeCell ref="W61:W62"/>
    <mergeCell ref="AC65:AC66"/>
    <mergeCell ref="AD65:AD66"/>
    <mergeCell ref="AE65:AE66"/>
    <mergeCell ref="AF65:AF66"/>
    <mergeCell ref="E67:E68"/>
    <mergeCell ref="F67:F68"/>
    <mergeCell ref="G67:G68"/>
    <mergeCell ref="H67:H68"/>
    <mergeCell ref="K67:K68"/>
    <mergeCell ref="L67:L68"/>
    <mergeCell ref="M67:M68"/>
    <mergeCell ref="N67:N68"/>
    <mergeCell ref="W67:W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W71:W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J85:J86"/>
    <mergeCell ref="AB85:AB86"/>
    <mergeCell ref="AD91:AD92"/>
    <mergeCell ref="AE91:AE92"/>
    <mergeCell ref="AF91:AF92"/>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W93:W94"/>
    <mergeCell ref="X93:X94"/>
    <mergeCell ref="Y93:Y94"/>
    <mergeCell ref="Z93:Z94"/>
    <mergeCell ref="AC93:AC94"/>
    <mergeCell ref="AD93:AD94"/>
    <mergeCell ref="AE93:AE94"/>
    <mergeCell ref="W89:W90"/>
    <mergeCell ref="X89:X90"/>
    <mergeCell ref="Y89:Y90"/>
    <mergeCell ref="Z89:Z90"/>
    <mergeCell ref="AC89:AC90"/>
    <mergeCell ref="AD89:AD90"/>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C100:AC101"/>
    <mergeCell ref="AD100:AD101"/>
    <mergeCell ref="AE100:AE101"/>
    <mergeCell ref="AF100:AF101"/>
    <mergeCell ref="AF93:AF94"/>
    <mergeCell ref="E96:E97"/>
    <mergeCell ref="F96:F97"/>
    <mergeCell ref="G96:G97"/>
    <mergeCell ref="H96:H97"/>
    <mergeCell ref="K96:K97"/>
    <mergeCell ref="L96:L97"/>
    <mergeCell ref="R96:R97"/>
    <mergeCell ref="S96:S97"/>
    <mergeCell ref="T96:T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M93:M94"/>
    <mergeCell ref="N93:N94"/>
    <mergeCell ref="S93:S94"/>
    <mergeCell ref="T93:T94"/>
    <mergeCell ref="R102:R103"/>
    <mergeCell ref="S102:S103"/>
    <mergeCell ref="T102:T103"/>
    <mergeCell ref="W102:W103"/>
    <mergeCell ref="X102:X103"/>
    <mergeCell ref="Y102:Y103"/>
    <mergeCell ref="Z102:Z103"/>
    <mergeCell ref="AC102:AC103"/>
    <mergeCell ref="W98:W99"/>
    <mergeCell ref="X98:X99"/>
    <mergeCell ref="Y98:Y99"/>
    <mergeCell ref="Z98:Z99"/>
    <mergeCell ref="AC98:AC99"/>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D102:AD103"/>
    <mergeCell ref="AE102:AE103"/>
    <mergeCell ref="AF102:AF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N102:N103"/>
    <mergeCell ref="Q102:Q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AC120:AC121"/>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AB118:AB119"/>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R155:R156"/>
    <mergeCell ref="S155:S156"/>
    <mergeCell ref="T155:T156"/>
    <mergeCell ref="W155:W156"/>
    <mergeCell ref="X155:X156"/>
    <mergeCell ref="Y155:Y156"/>
    <mergeCell ref="Z155:Z156"/>
    <mergeCell ref="AC155:AC156"/>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AD155:AD156"/>
    <mergeCell ref="AE155:AE156"/>
    <mergeCell ref="AF155:AF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AD157:AD158"/>
    <mergeCell ref="AE157:AE158"/>
    <mergeCell ref="AF157:AF158"/>
    <mergeCell ref="E155:E156"/>
    <mergeCell ref="F155:F156"/>
    <mergeCell ref="G155:G156"/>
    <mergeCell ref="H155:H156"/>
    <mergeCell ref="K155:K156"/>
    <mergeCell ref="L155:L156"/>
    <mergeCell ref="M155:M156"/>
    <mergeCell ref="N155:N156"/>
    <mergeCell ref="Q155:Q156"/>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P177:P178"/>
    <mergeCell ref="V177:V178"/>
    <mergeCell ref="AB177:AB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J185:J186"/>
    <mergeCell ref="P185:P186"/>
    <mergeCell ref="V185:V186"/>
    <mergeCell ref="AB185:AB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196:E197"/>
    <mergeCell ref="F196:F197"/>
    <mergeCell ref="G196:G197"/>
    <mergeCell ref="H196:H197"/>
    <mergeCell ref="E198:E199"/>
    <mergeCell ref="F198:F199"/>
    <mergeCell ref="G198:G199"/>
    <mergeCell ref="H198:H199"/>
    <mergeCell ref="M196:M197"/>
    <mergeCell ref="E200:E201"/>
    <mergeCell ref="F200:F201"/>
    <mergeCell ref="G200:G201"/>
    <mergeCell ref="H200:H201"/>
    <mergeCell ref="E202:E203"/>
    <mergeCell ref="F202:F203"/>
    <mergeCell ref="G202:G203"/>
    <mergeCell ref="H202:H203"/>
    <mergeCell ref="K196:K197"/>
    <mergeCell ref="L196:L197"/>
    <mergeCell ref="K202:K203"/>
    <mergeCell ref="L202:L203"/>
    <mergeCell ref="J196:J197"/>
    <mergeCell ref="K206:K207"/>
    <mergeCell ref="L206:L207"/>
    <mergeCell ref="N196:N197"/>
    <mergeCell ref="K198:K199"/>
    <mergeCell ref="L198:L199"/>
    <mergeCell ref="M198:M199"/>
    <mergeCell ref="N198:N199"/>
    <mergeCell ref="K200:K201"/>
    <mergeCell ref="L200:L201"/>
    <mergeCell ref="M200:M201"/>
    <mergeCell ref="N200:N201"/>
    <mergeCell ref="M202:M203"/>
    <mergeCell ref="N202:N203"/>
    <mergeCell ref="K204:K205"/>
    <mergeCell ref="L204:L205"/>
    <mergeCell ref="M204:M205"/>
    <mergeCell ref="N204:N205"/>
    <mergeCell ref="M206:M207"/>
    <mergeCell ref="N206:N207"/>
    <mergeCell ref="K208:K209"/>
    <mergeCell ref="L208:L209"/>
    <mergeCell ref="M208:M209"/>
    <mergeCell ref="N208:N209"/>
    <mergeCell ref="K210:K211"/>
    <mergeCell ref="L210:L211"/>
    <mergeCell ref="M210:M211"/>
    <mergeCell ref="N210:N211"/>
    <mergeCell ref="Q196:Q197"/>
    <mergeCell ref="R196:R197"/>
    <mergeCell ref="Q200:Q201"/>
    <mergeCell ref="R200:R201"/>
    <mergeCell ref="Q204:Q205"/>
    <mergeCell ref="R204:R205"/>
    <mergeCell ref="S196:S197"/>
    <mergeCell ref="T196:T197"/>
    <mergeCell ref="Q198:Q199"/>
    <mergeCell ref="R198:R199"/>
    <mergeCell ref="S198:S199"/>
    <mergeCell ref="T198:T199"/>
    <mergeCell ref="S200:S201"/>
    <mergeCell ref="T200:T201"/>
    <mergeCell ref="Q202:Q203"/>
    <mergeCell ref="R202:R203"/>
    <mergeCell ref="S202:S203"/>
    <mergeCell ref="T202:T203"/>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C198:AC199"/>
    <mergeCell ref="AC200:AC201"/>
    <mergeCell ref="AC202:AC203"/>
    <mergeCell ref="AC204:AC205"/>
    <mergeCell ref="AC206:AC207"/>
    <mergeCell ref="AC208:AC209"/>
    <mergeCell ref="AC210:AC211"/>
    <mergeCell ref="AD196:AD197"/>
    <mergeCell ref="AD198:AD199"/>
    <mergeCell ref="AD200:AD201"/>
    <mergeCell ref="AD202:AD203"/>
    <mergeCell ref="AD204:AD205"/>
    <mergeCell ref="AD206:AD207"/>
    <mergeCell ref="AD208:AD209"/>
    <mergeCell ref="AD210:AD211"/>
    <mergeCell ref="AE206:AE207"/>
    <mergeCell ref="AE208:AE209"/>
    <mergeCell ref="AE210:AE211"/>
    <mergeCell ref="AF196:AF197"/>
    <mergeCell ref="AF198:AF199"/>
    <mergeCell ref="AF200:AF201"/>
    <mergeCell ref="AF202:AF203"/>
    <mergeCell ref="AF204:AF205"/>
    <mergeCell ref="AF206:AF207"/>
    <mergeCell ref="AF208:AF209"/>
    <mergeCell ref="AF210:AF211"/>
    <mergeCell ref="M213:M214"/>
    <mergeCell ref="N213:N214"/>
    <mergeCell ref="K215:K216"/>
    <mergeCell ref="L215:L216"/>
    <mergeCell ref="M215:M216"/>
    <mergeCell ref="N215:N216"/>
    <mergeCell ref="Q213:Q214"/>
    <mergeCell ref="R213:R214"/>
    <mergeCell ref="K213:K214"/>
    <mergeCell ref="L213:L214"/>
    <mergeCell ref="S213:S214"/>
    <mergeCell ref="T213:T214"/>
    <mergeCell ref="Q215:Q216"/>
    <mergeCell ref="R215:R216"/>
    <mergeCell ref="S215:S216"/>
    <mergeCell ref="T215:T216"/>
    <mergeCell ref="W213:W214"/>
    <mergeCell ref="X213:X214"/>
    <mergeCell ref="Y213:Y214"/>
    <mergeCell ref="Z213:Z214"/>
    <mergeCell ref="W215:W216"/>
    <mergeCell ref="Y217:Y218"/>
    <mergeCell ref="Z217:Z218"/>
    <mergeCell ref="AC213:AC214"/>
    <mergeCell ref="AD213:AD214"/>
    <mergeCell ref="AC217:AC218"/>
    <mergeCell ref="AD217:AD218"/>
    <mergeCell ref="AE213:AE214"/>
    <mergeCell ref="AF213:AF214"/>
    <mergeCell ref="AC215:AC216"/>
    <mergeCell ref="AD215:AD216"/>
    <mergeCell ref="AE215:AE216"/>
    <mergeCell ref="AF215:AF216"/>
    <mergeCell ref="AE217:AE218"/>
    <mergeCell ref="AF217:AF218"/>
    <mergeCell ref="E213:E214"/>
    <mergeCell ref="F213:F214"/>
    <mergeCell ref="G213:G214"/>
    <mergeCell ref="H213:H214"/>
    <mergeCell ref="E215:E216"/>
    <mergeCell ref="F215:F216"/>
    <mergeCell ref="G215:G216"/>
    <mergeCell ref="H215:H216"/>
    <mergeCell ref="E217:E218"/>
    <mergeCell ref="F217:F218"/>
    <mergeCell ref="G217:G218"/>
    <mergeCell ref="H217:H218"/>
    <mergeCell ref="E237:E238"/>
    <mergeCell ref="F237:F238"/>
    <mergeCell ref="G237:G238"/>
    <mergeCell ref="H237:H238"/>
    <mergeCell ref="G222:H222"/>
    <mergeCell ref="R237:R238"/>
    <mergeCell ref="S237:S238"/>
    <mergeCell ref="T237:T238"/>
    <mergeCell ref="W237:W238"/>
    <mergeCell ref="X237:X238"/>
    <mergeCell ref="Y237:Y238"/>
    <mergeCell ref="Z237:Z238"/>
    <mergeCell ref="AC237:AC238"/>
    <mergeCell ref="AD237:AD238"/>
    <mergeCell ref="AE237:AE238"/>
    <mergeCell ref="AF237:AF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V241:V242"/>
    <mergeCell ref="AB241:AB242"/>
    <mergeCell ref="R245:R246"/>
    <mergeCell ref="S245:S246"/>
    <mergeCell ref="T245:T246"/>
    <mergeCell ref="W245:W246"/>
    <mergeCell ref="X245:X246"/>
    <mergeCell ref="Y245:Y246"/>
    <mergeCell ref="Z245:Z246"/>
    <mergeCell ref="AC245:AC246"/>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AD245:AD246"/>
    <mergeCell ref="AE245:AE246"/>
    <mergeCell ref="AF245:AF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D247:AD248"/>
    <mergeCell ref="AE247:AE248"/>
    <mergeCell ref="AF247:AF248"/>
    <mergeCell ref="E245:E246"/>
    <mergeCell ref="F245:F246"/>
    <mergeCell ref="G245:G246"/>
    <mergeCell ref="H245:H246"/>
    <mergeCell ref="K245:K246"/>
    <mergeCell ref="L245:L246"/>
    <mergeCell ref="M245:M246"/>
    <mergeCell ref="N245:N246"/>
    <mergeCell ref="Q245:Q246"/>
    <mergeCell ref="E249:E250"/>
    <mergeCell ref="F249:F250"/>
    <mergeCell ref="G249:G250"/>
    <mergeCell ref="H249:H250"/>
    <mergeCell ref="K249:K250"/>
    <mergeCell ref="L249:L250"/>
    <mergeCell ref="M249:M250"/>
    <mergeCell ref="N249:N250"/>
    <mergeCell ref="Q249:Q250"/>
    <mergeCell ref="X249:X250"/>
    <mergeCell ref="Y249:Y250"/>
    <mergeCell ref="Z249:Z250"/>
    <mergeCell ref="AC249:AC250"/>
    <mergeCell ref="AD249:AD250"/>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E253:E254"/>
    <mergeCell ref="F253:F254"/>
    <mergeCell ref="G253:G254"/>
    <mergeCell ref="H253:H254"/>
    <mergeCell ref="K253:K254"/>
    <mergeCell ref="L253:L254"/>
    <mergeCell ref="M253:M254"/>
    <mergeCell ref="N253:N254"/>
    <mergeCell ref="Q253:Q254"/>
    <mergeCell ref="R253:R254"/>
    <mergeCell ref="S253:S254"/>
    <mergeCell ref="AD253:AD254"/>
    <mergeCell ref="AE253:AE254"/>
    <mergeCell ref="AF253:AF254"/>
    <mergeCell ref="T253:T254"/>
    <mergeCell ref="W253:W254"/>
    <mergeCell ref="X253:X254"/>
    <mergeCell ref="Y253:Y254"/>
    <mergeCell ref="Z253:Z254"/>
    <mergeCell ref="AC253:AC254"/>
    <mergeCell ref="J253:J254"/>
    <mergeCell ref="P253:P254"/>
    <mergeCell ref="V253:V254"/>
    <mergeCell ref="AB253:AB254"/>
  </mergeCells>
  <pageMargins left="0.45" right="0.36" top="0.45" bottom="0.45" header="0.3" footer="0.3"/>
  <pageSetup paperSize="9" scale="8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2A9E-960C-4561-AC99-797EE01DE452}">
  <sheetPr>
    <pageSetUpPr fitToPage="1"/>
  </sheetPr>
  <dimension ref="A1:AH256"/>
  <sheetViews>
    <sheetView zoomScaleNormal="100" workbookViewId="0">
      <pane ySplit="12" topLeftCell="A241" activePane="bottomLeft" state="frozen"/>
      <selection activeCell="B67" sqref="B67:C68"/>
      <selection pane="bottomLeft" activeCell="AC235" sqref="AC235:AF235"/>
    </sheetView>
  </sheetViews>
  <sheetFormatPr defaultColWidth="9.109375" defaultRowHeight="10.199999999999999" x14ac:dyDescent="0.2"/>
  <cols>
    <col min="1" max="1" width="4.88671875" style="11" customWidth="1"/>
    <col min="2" max="2" width="36.77734375" style="31" customWidth="1"/>
    <col min="3" max="3" width="8.77734375" style="11" customWidth="1"/>
    <col min="4" max="4" width="5.88671875" style="11" customWidth="1"/>
    <col min="5" max="34" width="4.77734375" style="11" customWidth="1"/>
    <col min="35" max="16384" width="9.109375" style="11"/>
  </cols>
  <sheetData>
    <row r="1" spans="1:34" x14ac:dyDescent="0.2">
      <c r="A1" s="9"/>
      <c r="B1" s="10"/>
      <c r="C1" s="9"/>
      <c r="D1" s="9"/>
    </row>
    <row r="2" spans="1:34" x14ac:dyDescent="0.2">
      <c r="A2" s="297" t="s">
        <v>51</v>
      </c>
      <c r="B2" s="297"/>
      <c r="C2" s="297"/>
      <c r="D2" s="269"/>
      <c r="E2" s="269"/>
      <c r="F2" s="269"/>
      <c r="G2" s="269"/>
      <c r="H2" s="269"/>
      <c r="I2" s="269"/>
      <c r="J2" s="269"/>
      <c r="K2" s="269"/>
      <c r="L2" s="269"/>
      <c r="M2" s="269"/>
      <c r="N2" s="269"/>
      <c r="O2" s="269"/>
      <c r="P2" s="269"/>
      <c r="Q2" s="269"/>
    </row>
    <row r="3" spans="1:34" x14ac:dyDescent="0.2">
      <c r="A3" s="297" t="s">
        <v>50</v>
      </c>
      <c r="B3" s="297"/>
      <c r="C3" s="297"/>
      <c r="D3" s="269"/>
      <c r="E3" s="269"/>
      <c r="F3" s="269"/>
      <c r="G3" s="269"/>
      <c r="H3" s="269"/>
      <c r="I3" s="269"/>
      <c r="J3" s="269"/>
      <c r="K3" s="269"/>
      <c r="L3" s="269"/>
      <c r="M3" s="269"/>
      <c r="N3" s="269"/>
      <c r="O3" s="269"/>
      <c r="P3" s="269"/>
      <c r="Q3" s="269"/>
    </row>
    <row r="4" spans="1:34" x14ac:dyDescent="0.2">
      <c r="A4" s="297" t="s">
        <v>63</v>
      </c>
      <c r="B4" s="297"/>
      <c r="C4" s="297"/>
      <c r="D4" s="12"/>
    </row>
    <row r="5" spans="1:34" x14ac:dyDescent="0.2">
      <c r="A5" s="271" t="s">
        <v>148</v>
      </c>
      <c r="B5" s="269"/>
      <c r="C5" s="14"/>
      <c r="D5" s="14"/>
      <c r="Q5" s="11" t="s">
        <v>74</v>
      </c>
      <c r="R5" s="15"/>
      <c r="W5" s="11" t="s">
        <v>74</v>
      </c>
      <c r="Y5" s="278"/>
      <c r="AC5" s="11" t="s">
        <v>74</v>
      </c>
    </row>
    <row r="6" spans="1:34" x14ac:dyDescent="0.2">
      <c r="A6" s="271" t="s">
        <v>154</v>
      </c>
      <c r="B6" s="269"/>
      <c r="C6" s="9"/>
      <c r="D6" s="9"/>
      <c r="I6" s="16"/>
      <c r="J6" s="16"/>
      <c r="O6" s="16"/>
      <c r="U6" s="16"/>
      <c r="V6" s="16"/>
      <c r="Y6" s="278"/>
      <c r="AA6" s="16"/>
      <c r="AB6" s="16"/>
      <c r="AG6" s="16"/>
      <c r="AH6" s="16"/>
    </row>
    <row r="7" spans="1:34" x14ac:dyDescent="0.2">
      <c r="A7" s="268"/>
      <c r="B7" s="268"/>
      <c r="C7" s="268"/>
    </row>
    <row r="8" spans="1:34" x14ac:dyDescent="0.2">
      <c r="A8" s="268" t="s">
        <v>166</v>
      </c>
      <c r="B8" s="268"/>
      <c r="C8" s="268"/>
      <c r="D8" s="269"/>
      <c r="E8" s="269"/>
      <c r="F8" s="269"/>
      <c r="G8" s="269"/>
      <c r="H8" s="269"/>
      <c r="I8" s="269"/>
      <c r="J8" s="269"/>
      <c r="K8" s="269"/>
      <c r="L8" s="269"/>
      <c r="M8" s="269"/>
      <c r="N8" s="269"/>
      <c r="O8" s="269"/>
      <c r="P8" s="269"/>
      <c r="Q8" s="269"/>
      <c r="R8" s="269"/>
      <c r="S8" s="269"/>
      <c r="T8" s="269"/>
      <c r="U8" s="269"/>
      <c r="V8" s="269"/>
      <c r="W8" s="269"/>
      <c r="X8" s="269"/>
    </row>
    <row r="9" spans="1:34" x14ac:dyDescent="0.2">
      <c r="A9" s="9"/>
      <c r="B9" s="10"/>
      <c r="C9" s="9"/>
      <c r="D9" s="9"/>
    </row>
    <row r="10" spans="1:34"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9"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16.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305" t="s">
        <v>19</v>
      </c>
      <c r="C80" s="305"/>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34" x14ac:dyDescent="0.2">
      <c r="A81" s="30" t="s">
        <v>41</v>
      </c>
      <c r="B81" s="305" t="s">
        <v>20</v>
      </c>
      <c r="C81" s="30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row>
    <row r="82" spans="1:34" ht="27.75" customHeight="1" x14ac:dyDescent="0.2">
      <c r="A82" s="289"/>
      <c r="B82" s="33" t="s">
        <v>95</v>
      </c>
      <c r="C82" s="34"/>
      <c r="D82" s="24" t="s">
        <v>135</v>
      </c>
      <c r="E82" s="35">
        <v>1</v>
      </c>
      <c r="F82" s="35">
        <v>1</v>
      </c>
      <c r="G82" s="35">
        <v>1</v>
      </c>
      <c r="H82" s="35">
        <v>3</v>
      </c>
      <c r="I82" s="35"/>
      <c r="J82" s="35">
        <v>6</v>
      </c>
      <c r="K82" s="162">
        <v>1</v>
      </c>
      <c r="L82" s="162">
        <v>1</v>
      </c>
      <c r="M82" s="162">
        <v>1</v>
      </c>
      <c r="N82" s="162">
        <v>3</v>
      </c>
      <c r="O82" s="162"/>
      <c r="P82" s="35">
        <v>6</v>
      </c>
      <c r="Q82" s="162">
        <v>1</v>
      </c>
      <c r="R82" s="162">
        <v>1</v>
      </c>
      <c r="S82" s="162">
        <v>1</v>
      </c>
      <c r="T82" s="162">
        <v>3</v>
      </c>
      <c r="U82" s="35"/>
      <c r="V82" s="35">
        <v>6</v>
      </c>
      <c r="W82" s="162">
        <v>1</v>
      </c>
      <c r="X82" s="162">
        <v>1</v>
      </c>
      <c r="Y82" s="162">
        <v>1</v>
      </c>
      <c r="Z82" s="162">
        <v>3</v>
      </c>
      <c r="AA82" s="162"/>
      <c r="AB82" s="35">
        <v>6</v>
      </c>
      <c r="AC82" s="162">
        <v>1</v>
      </c>
      <c r="AD82" s="162">
        <v>1</v>
      </c>
      <c r="AE82" s="162">
        <v>1</v>
      </c>
      <c r="AF82" s="162">
        <v>3</v>
      </c>
      <c r="AG82" s="35"/>
      <c r="AH82" s="35">
        <v>6</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ht="15.75" customHeight="1" x14ac:dyDescent="0.2">
      <c r="A90" s="289"/>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ht="15.75" customHeight="1" x14ac:dyDescent="0.2">
      <c r="A91" s="289"/>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4</v>
      </c>
      <c r="F95" s="162">
        <v>4</v>
      </c>
      <c r="G95" s="162">
        <v>4</v>
      </c>
      <c r="H95" s="162">
        <v>4</v>
      </c>
      <c r="I95" s="35"/>
      <c r="J95" s="35">
        <v>16</v>
      </c>
      <c r="K95" s="35">
        <v>4</v>
      </c>
      <c r="L95" s="35">
        <v>4</v>
      </c>
      <c r="M95" s="35">
        <v>4</v>
      </c>
      <c r="N95" s="35">
        <v>4</v>
      </c>
      <c r="O95" s="35"/>
      <c r="P95" s="35">
        <v>16</v>
      </c>
      <c r="Q95" s="162">
        <v>4</v>
      </c>
      <c r="R95" s="162">
        <v>4</v>
      </c>
      <c r="S95" s="162">
        <v>4</v>
      </c>
      <c r="T95" s="162">
        <v>4</v>
      </c>
      <c r="U95" s="35"/>
      <c r="V95" s="35">
        <v>16</v>
      </c>
      <c r="W95" s="162">
        <v>4</v>
      </c>
      <c r="X95" s="162">
        <v>4</v>
      </c>
      <c r="Y95" s="162">
        <v>4</v>
      </c>
      <c r="Z95" s="162">
        <v>4</v>
      </c>
      <c r="AA95" s="162"/>
      <c r="AB95" s="35">
        <v>16</v>
      </c>
      <c r="AC95" s="162">
        <v>4</v>
      </c>
      <c r="AD95" s="162">
        <v>4</v>
      </c>
      <c r="AE95" s="162">
        <v>4</v>
      </c>
      <c r="AF95" s="162">
        <v>4</v>
      </c>
      <c r="AG95" s="35"/>
      <c r="AH95" s="35">
        <v>16</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64" t="s">
        <v>25</v>
      </c>
      <c r="C124" s="264"/>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73"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73"/>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73"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73"/>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73"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73"/>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448" t="s">
        <v>27</v>
      </c>
      <c r="C152" s="448"/>
      <c r="D152" s="265"/>
      <c r="E152" s="265"/>
      <c r="F152" s="265"/>
      <c r="G152" s="265"/>
      <c r="H152" s="265"/>
      <c r="I152" s="265"/>
      <c r="J152" s="265"/>
      <c r="K152" s="265"/>
      <c r="L152" s="265"/>
      <c r="M152" s="265"/>
      <c r="N152" s="265"/>
      <c r="O152" s="265"/>
      <c r="P152" s="265"/>
      <c r="Q152" s="265"/>
      <c r="R152" s="265"/>
      <c r="S152" s="265"/>
      <c r="T152" s="265"/>
      <c r="U152" s="265"/>
      <c r="V152" s="265"/>
      <c r="W152" s="265"/>
      <c r="X152" s="265"/>
      <c r="Y152" s="265"/>
      <c r="Z152" s="265"/>
      <c r="AA152" s="265"/>
      <c r="AB152" s="265"/>
      <c r="AC152" s="265"/>
      <c r="AD152" s="265"/>
      <c r="AE152" s="265"/>
      <c r="AF152" s="265"/>
      <c r="AG152" s="265"/>
      <c r="AH152" s="265"/>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6.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91"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91"/>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91"/>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91"/>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91"/>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91"/>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91"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91"/>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91"/>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91"/>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91"/>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91"/>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8.75" customHeight="1" x14ac:dyDescent="0.2">
      <c r="A183" s="273"/>
      <c r="B183" s="291"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91"/>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91"/>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91"/>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91"/>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91"/>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ht="15.75" customHeight="1" x14ac:dyDescent="0.2">
      <c r="A195" s="43">
        <v>2.1</v>
      </c>
      <c r="B195" s="264" t="s">
        <v>30</v>
      </c>
      <c r="C195" s="264"/>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15.75" customHeight="1" x14ac:dyDescent="0.2">
      <c r="A196" s="289"/>
      <c r="B196" s="288" t="s">
        <v>142</v>
      </c>
      <c r="C196" s="288"/>
      <c r="D196" s="273" t="s">
        <v>78</v>
      </c>
      <c r="E196" s="254">
        <v>0.48770000000000002</v>
      </c>
      <c r="F196" s="254">
        <v>0.48770000000000002</v>
      </c>
      <c r="G196" s="254">
        <v>0.48770000000000002</v>
      </c>
      <c r="H196" s="254">
        <v>0.48770000000000002</v>
      </c>
      <c r="I196" s="45"/>
      <c r="J196" s="254">
        <v>0.48770000000000002</v>
      </c>
      <c r="K196" s="254">
        <v>0.4677</v>
      </c>
      <c r="L196" s="254">
        <v>0.4677</v>
      </c>
      <c r="M196" s="254">
        <v>0.4677</v>
      </c>
      <c r="N196" s="254">
        <v>0.4677</v>
      </c>
      <c r="O196" s="45"/>
      <c r="P196" s="254">
        <v>0.4677</v>
      </c>
      <c r="Q196" s="254">
        <v>0.44769999999999999</v>
      </c>
      <c r="R196" s="254">
        <v>0.44769999999999999</v>
      </c>
      <c r="S196" s="254">
        <v>0.44769999999999999</v>
      </c>
      <c r="T196" s="254">
        <v>0.44769999999999999</v>
      </c>
      <c r="U196" s="45"/>
      <c r="V196" s="254">
        <v>0.44769999999999999</v>
      </c>
      <c r="W196" s="254">
        <v>0.42770000000000002</v>
      </c>
      <c r="X196" s="44"/>
      <c r="Y196" s="44"/>
      <c r="Z196" s="44"/>
      <c r="AA196" s="45"/>
      <c r="AB196" s="254">
        <v>0.42770000000000002</v>
      </c>
      <c r="AC196" s="254">
        <v>0.26400000000000001</v>
      </c>
      <c r="AD196" s="254">
        <v>0.26400000000000001</v>
      </c>
      <c r="AE196" s="254">
        <v>0.26400000000000001</v>
      </c>
      <c r="AF196" s="254">
        <v>0.26400000000000001</v>
      </c>
      <c r="AG196" s="29"/>
      <c r="AH196" s="254">
        <v>0.26400000000000001</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44"/>
      <c r="Y197" s="44"/>
      <c r="Z197" s="44"/>
      <c r="AA197" s="45"/>
      <c r="AB197" s="254"/>
      <c r="AC197" s="254"/>
      <c r="AD197" s="254"/>
      <c r="AE197" s="254"/>
      <c r="AF197" s="254"/>
      <c r="AG197" s="29"/>
      <c r="AH197" s="254"/>
    </row>
    <row r="198" spans="1:34" ht="21.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35.573/(35.573+3.588+27.43)</f>
        <v>0.53420131849649344</v>
      </c>
      <c r="X198" s="19"/>
      <c r="Y198" s="19"/>
      <c r="Z198" s="19"/>
      <c r="AA198" s="19"/>
      <c r="AB198" s="252">
        <f>35.573/(35.573+3.588+27.43)</f>
        <v>0.53420131849649344</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19"/>
      <c r="Y199" s="19"/>
      <c r="Z199" s="19"/>
      <c r="AA199" s="19"/>
      <c r="AB199" s="252"/>
      <c r="AC199" s="252"/>
      <c r="AD199" s="252"/>
      <c r="AE199" s="252"/>
      <c r="AF199" s="252"/>
      <c r="AG199" s="19"/>
      <c r="AH199" s="252"/>
    </row>
    <row r="200" spans="1:34" ht="27.75" customHeight="1" x14ac:dyDescent="0.2">
      <c r="A200" s="289"/>
      <c r="B200" s="296" t="s">
        <v>147</v>
      </c>
      <c r="C200" s="296"/>
      <c r="D200" s="25" t="s">
        <v>100</v>
      </c>
      <c r="E200" s="250">
        <v>0.6</v>
      </c>
      <c r="F200" s="250">
        <v>0.6</v>
      </c>
      <c r="G200" s="250">
        <v>0.6</v>
      </c>
      <c r="H200" s="250">
        <v>0.6</v>
      </c>
      <c r="I200" s="26"/>
      <c r="J200" s="250">
        <v>0.6</v>
      </c>
      <c r="K200" s="250">
        <v>0.7</v>
      </c>
      <c r="L200" s="250">
        <v>0.7</v>
      </c>
      <c r="M200" s="250">
        <v>0.7</v>
      </c>
      <c r="N200" s="250">
        <v>0.7</v>
      </c>
      <c r="O200" s="26"/>
      <c r="P200" s="250">
        <v>0.7</v>
      </c>
      <c r="Q200" s="250">
        <v>0.8</v>
      </c>
      <c r="R200" s="250">
        <v>0.8</v>
      </c>
      <c r="S200" s="250">
        <v>0.8</v>
      </c>
      <c r="T200" s="250">
        <v>0.8</v>
      </c>
      <c r="U200" s="26"/>
      <c r="V200" s="250">
        <v>0.8</v>
      </c>
      <c r="W200" s="250">
        <v>0.9</v>
      </c>
      <c r="X200" s="23"/>
      <c r="Y200" s="23"/>
      <c r="Z200" s="23"/>
      <c r="AA200" s="26"/>
      <c r="AB200" s="250">
        <v>0.9</v>
      </c>
      <c r="AC200" s="250">
        <v>1.1000000000000001</v>
      </c>
      <c r="AD200" s="250">
        <v>1.1000000000000001</v>
      </c>
      <c r="AE200" s="250">
        <v>1.1000000000000001</v>
      </c>
      <c r="AF200" s="250">
        <v>1.1000000000000001</v>
      </c>
      <c r="AG200" s="26"/>
      <c r="AH200" s="250">
        <v>1.1000000000000001</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3"/>
      <c r="Y201" s="47"/>
      <c r="Z201" s="47"/>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3"/>
      <c r="Y202" s="23"/>
      <c r="Z202" s="23"/>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3"/>
      <c r="Y203" s="23"/>
      <c r="Z203" s="23"/>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3"/>
      <c r="Y204" s="23"/>
      <c r="Z204" s="23"/>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3"/>
      <c r="Y205" s="23"/>
      <c r="Z205" s="23"/>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3"/>
      <c r="Y206" s="23"/>
      <c r="Z206" s="23"/>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3"/>
      <c r="Y207" s="23"/>
      <c r="Z207" s="23"/>
      <c r="AA207" s="26"/>
      <c r="AB207" s="249"/>
      <c r="AC207" s="249"/>
      <c r="AD207" s="249"/>
      <c r="AE207" s="249"/>
      <c r="AF207" s="249"/>
      <c r="AG207" s="26"/>
      <c r="AH207" s="249"/>
    </row>
    <row r="208" spans="1:34" ht="15.75" customHeight="1" x14ac:dyDescent="0.2">
      <c r="A208" s="289"/>
      <c r="B208" s="288" t="s">
        <v>130</v>
      </c>
      <c r="C208" s="288"/>
      <c r="D208" s="273" t="s">
        <v>78</v>
      </c>
      <c r="E208" s="249">
        <f>(7.27+25.458)/50.361</f>
        <v>0.64986795337662073</v>
      </c>
      <c r="F208" s="249">
        <f>(7.27+25.458)/50.361</f>
        <v>0.64986795337662073</v>
      </c>
      <c r="G208" s="249">
        <f>(7.27+25.458)/50.361</f>
        <v>0.64986795337662073</v>
      </c>
      <c r="H208" s="249">
        <f>(7.27+25.458)/50.361</f>
        <v>0.64986795337662073</v>
      </c>
      <c r="I208" s="19"/>
      <c r="J208" s="249">
        <f>(7.27+25.458)/50.361</f>
        <v>0.64986795337662073</v>
      </c>
      <c r="K208" s="249">
        <f>(7.27+25.458)/50.361</f>
        <v>0.64986795337662073</v>
      </c>
      <c r="L208" s="249">
        <f>(7.27+25.458)/50.361</f>
        <v>0.64986795337662073</v>
      </c>
      <c r="M208" s="249">
        <f>(7.27+25.458)/50.361</f>
        <v>0.64986795337662073</v>
      </c>
      <c r="N208" s="249">
        <f>(7.27+25.458)/50.361</f>
        <v>0.64986795337662073</v>
      </c>
      <c r="O208" s="19"/>
      <c r="P208" s="249">
        <f>(7.27+25.458)/50.361</f>
        <v>0.64986795337662073</v>
      </c>
      <c r="Q208" s="249">
        <f>(7.27+25.458)/50.361</f>
        <v>0.64986795337662073</v>
      </c>
      <c r="R208" s="249">
        <f>(7.27+25.458)/50.361</f>
        <v>0.64986795337662073</v>
      </c>
      <c r="S208" s="249">
        <f>(7.27+25.458)/50.361</f>
        <v>0.64986795337662073</v>
      </c>
      <c r="T208" s="249">
        <f>(7.27+25.458)/50.361</f>
        <v>0.64986795337662073</v>
      </c>
      <c r="U208" s="19"/>
      <c r="V208" s="249">
        <f>(7.27+25.458)/50.361</f>
        <v>0.64986795337662073</v>
      </c>
      <c r="W208" s="249">
        <f>(7.27+25.458+27.43)/50.361</f>
        <v>1.1945354540219615</v>
      </c>
      <c r="X208" s="23"/>
      <c r="Y208" s="23"/>
      <c r="Z208" s="23"/>
      <c r="AA208" s="19"/>
      <c r="AB208" s="249">
        <f>(7.27+25.458+27.43)/50.361</f>
        <v>1.1945354540219615</v>
      </c>
      <c r="AC208" s="249">
        <f>W208</f>
        <v>1.1945354540219615</v>
      </c>
      <c r="AD208" s="249">
        <f>X208</f>
        <v>0</v>
      </c>
      <c r="AE208" s="249">
        <f>Y208</f>
        <v>0</v>
      </c>
      <c r="AF208" s="249">
        <f>Z208</f>
        <v>0</v>
      </c>
      <c r="AG208" s="19"/>
      <c r="AH208" s="249">
        <f>AB208</f>
        <v>1.1945354540219615</v>
      </c>
    </row>
    <row r="209" spans="1:34" ht="24.6"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3"/>
      <c r="Y209" s="23"/>
      <c r="Z209" s="23"/>
      <c r="AA209" s="19"/>
      <c r="AB209" s="249"/>
      <c r="AC209" s="249"/>
      <c r="AD209" s="249"/>
      <c r="AE209" s="249"/>
      <c r="AF209" s="249"/>
      <c r="AG209" s="19"/>
      <c r="AH209" s="249"/>
    </row>
    <row r="210" spans="1:34" ht="15.75" customHeight="1" x14ac:dyDescent="0.2">
      <c r="A210" s="289"/>
      <c r="B210" s="284" t="s">
        <v>131</v>
      </c>
      <c r="C210" s="284"/>
      <c r="D210" s="273" t="s">
        <v>78</v>
      </c>
      <c r="E210" s="253">
        <f>941/943</f>
        <v>0.99787910922587486</v>
      </c>
      <c r="F210" s="253">
        <f>941/943</f>
        <v>0.99787910922587486</v>
      </c>
      <c r="G210" s="253">
        <f>941/943</f>
        <v>0.99787910922587486</v>
      </c>
      <c r="H210" s="253">
        <f>941/943</f>
        <v>0.99787910922587486</v>
      </c>
      <c r="I210" s="19"/>
      <c r="J210" s="253">
        <f>941/943</f>
        <v>0.99787910922587486</v>
      </c>
      <c r="K210" s="249">
        <v>1</v>
      </c>
      <c r="L210" s="249">
        <v>1</v>
      </c>
      <c r="M210" s="249">
        <v>1</v>
      </c>
      <c r="N210" s="249">
        <v>1</v>
      </c>
      <c r="O210" s="19"/>
      <c r="P210" s="249">
        <v>1</v>
      </c>
      <c r="Q210" s="249">
        <v>1</v>
      </c>
      <c r="R210" s="249">
        <v>1</v>
      </c>
      <c r="S210" s="249">
        <v>1</v>
      </c>
      <c r="T210" s="249">
        <v>1</v>
      </c>
      <c r="U210" s="19"/>
      <c r="V210" s="249">
        <v>1</v>
      </c>
      <c r="W210" s="23"/>
      <c r="X210" s="23"/>
      <c r="Y210" s="23"/>
      <c r="Z210" s="23"/>
      <c r="AA210" s="19"/>
      <c r="AB210" s="249">
        <v>1</v>
      </c>
      <c r="AC210" s="249">
        <v>1</v>
      </c>
      <c r="AD210" s="249">
        <v>1</v>
      </c>
      <c r="AE210" s="249">
        <v>1</v>
      </c>
      <c r="AF210" s="249">
        <v>1</v>
      </c>
      <c r="AG210" s="19"/>
      <c r="AH210" s="249">
        <v>1</v>
      </c>
    </row>
    <row r="211" spans="1:34" ht="15.75" customHeight="1" x14ac:dyDescent="0.2">
      <c r="A211" s="289"/>
      <c r="B211" s="284"/>
      <c r="C211" s="284"/>
      <c r="D211" s="273"/>
      <c r="E211" s="253"/>
      <c r="F211" s="253"/>
      <c r="G211" s="253"/>
      <c r="H211" s="253"/>
      <c r="I211" s="19"/>
      <c r="J211" s="253"/>
      <c r="K211" s="249"/>
      <c r="L211" s="249"/>
      <c r="M211" s="249"/>
      <c r="N211" s="249"/>
      <c r="O211" s="19"/>
      <c r="P211" s="249"/>
      <c r="Q211" s="249"/>
      <c r="R211" s="249"/>
      <c r="S211" s="249"/>
      <c r="T211" s="249"/>
      <c r="U211" s="19"/>
      <c r="V211" s="249"/>
      <c r="W211" s="23"/>
      <c r="X211" s="23"/>
      <c r="Y211" s="23"/>
      <c r="Z211" s="23"/>
      <c r="AA211" s="19"/>
      <c r="AB211" s="249"/>
      <c r="AC211" s="249"/>
      <c r="AD211" s="249"/>
      <c r="AE211" s="249"/>
      <c r="AF211" s="249"/>
      <c r="AG211" s="19"/>
      <c r="AH211" s="249"/>
    </row>
    <row r="212" spans="1:34" ht="15.75" customHeight="1" x14ac:dyDescent="0.2">
      <c r="A212" s="17">
        <v>2.2000000000000002</v>
      </c>
      <c r="B212" s="264" t="s">
        <v>33</v>
      </c>
      <c r="C212" s="264"/>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row>
    <row r="213" spans="1:34" ht="15.75" customHeight="1" x14ac:dyDescent="0.2">
      <c r="A213" s="289"/>
      <c r="B213" s="284" t="s">
        <v>43</v>
      </c>
      <c r="C213" s="284"/>
      <c r="D213" s="273" t="s">
        <v>78</v>
      </c>
      <c r="E213" s="249">
        <f>15.89/50.361</f>
        <v>0.31552193165346204</v>
      </c>
      <c r="F213" s="249">
        <f>15.89/50.361</f>
        <v>0.31552193165346204</v>
      </c>
      <c r="G213" s="249">
        <f>15.89/50.361</f>
        <v>0.31552193165346204</v>
      </c>
      <c r="H213" s="249">
        <f>15.89/50.361</f>
        <v>0.31552193165346204</v>
      </c>
      <c r="I213" s="19"/>
      <c r="J213" s="249">
        <f>15.89/50.361</f>
        <v>0.31552193165346204</v>
      </c>
      <c r="K213" s="249">
        <f>15.89/50.361</f>
        <v>0.31552193165346204</v>
      </c>
      <c r="L213" s="249">
        <f>15.89/50.361</f>
        <v>0.31552193165346204</v>
      </c>
      <c r="M213" s="249">
        <f>15.89/50.361</f>
        <v>0.31552193165346204</v>
      </c>
      <c r="N213" s="249">
        <f>15.89/50.361</f>
        <v>0.31552193165346204</v>
      </c>
      <c r="O213" s="19"/>
      <c r="P213" s="249">
        <f>15.89/50.361</f>
        <v>0.31552193165346204</v>
      </c>
      <c r="Q213" s="249">
        <f>15.89/50.361</f>
        <v>0.31552193165346204</v>
      </c>
      <c r="R213" s="249">
        <f>15.89/50.361</f>
        <v>0.31552193165346204</v>
      </c>
      <c r="S213" s="249">
        <f>15.89/50.361</f>
        <v>0.31552193165346204</v>
      </c>
      <c r="T213" s="249">
        <f>15.89/50.361</f>
        <v>0.31552193165346204</v>
      </c>
      <c r="U213" s="19"/>
      <c r="V213" s="249">
        <f>15.89/50.361</f>
        <v>0.31552193165346204</v>
      </c>
      <c r="W213" s="249">
        <f>(15.89+29.974+1.863)/50.361</f>
        <v>0.94769762316077932</v>
      </c>
      <c r="X213" s="249">
        <f>(15.89+29.974+1.863)/50.361</f>
        <v>0.94769762316077932</v>
      </c>
      <c r="Y213" s="249">
        <f>(15.89+29.974+1.863)/50.361</f>
        <v>0.94769762316077932</v>
      </c>
      <c r="Z213" s="249">
        <f>(15.89+29.974+1.863)/50.361</f>
        <v>0.94769762316077932</v>
      </c>
      <c r="AA213" s="19"/>
      <c r="AB213" s="249">
        <f>(15.89+29.974+1.863)/50.361</f>
        <v>0.94769762316077932</v>
      </c>
      <c r="AC213" s="249">
        <f>W213</f>
        <v>0.94769762316077932</v>
      </c>
      <c r="AD213" s="249">
        <f>X213</f>
        <v>0.94769762316077932</v>
      </c>
      <c r="AE213" s="249">
        <f>Y213</f>
        <v>0.94769762316077932</v>
      </c>
      <c r="AF213" s="249">
        <f>Z213</f>
        <v>0.94769762316077932</v>
      </c>
      <c r="AG213" s="19"/>
      <c r="AH213" s="249">
        <f>AB213</f>
        <v>0.94769762316077932</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15.89/(15.89+29.974+1.863)</f>
        <v>0.33293523582039514</v>
      </c>
      <c r="X215" s="249">
        <f>15.89/(15.89+29.974+1.863)</f>
        <v>0.33293523582039514</v>
      </c>
      <c r="Y215" s="249">
        <f>15.89/(15.89+29.974+1.863)</f>
        <v>0.33293523582039514</v>
      </c>
      <c r="Z215" s="249">
        <f>15.89/(15.89+29.974+1.863)</f>
        <v>0.33293523582039514</v>
      </c>
      <c r="AA215" s="19"/>
      <c r="AB215" s="249">
        <f>15.89/(15.89+29.974+1.863)</f>
        <v>0.33293523582039514</v>
      </c>
      <c r="AC215" s="249">
        <v>1</v>
      </c>
      <c r="AD215" s="249">
        <v>1</v>
      </c>
      <c r="AE215" s="249">
        <v>1</v>
      </c>
      <c r="AF215" s="249">
        <v>1</v>
      </c>
      <c r="AG215" s="19"/>
      <c r="AH215" s="249">
        <v>1</v>
      </c>
    </row>
    <row r="216" spans="1:34" ht="25.5"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0.5</v>
      </c>
      <c r="F217" s="250">
        <v>0.5</v>
      </c>
      <c r="G217" s="250">
        <v>0.5</v>
      </c>
      <c r="H217" s="250">
        <v>0.5</v>
      </c>
      <c r="I217" s="26"/>
      <c r="J217" s="250">
        <v>0.5</v>
      </c>
      <c r="K217" s="250">
        <v>0.5</v>
      </c>
      <c r="L217" s="250">
        <v>0.5</v>
      </c>
      <c r="M217" s="250">
        <v>0.5</v>
      </c>
      <c r="N217" s="250">
        <v>0.5</v>
      </c>
      <c r="O217" s="26"/>
      <c r="P217" s="250">
        <v>0.5</v>
      </c>
      <c r="Q217" s="250">
        <v>0.5</v>
      </c>
      <c r="R217" s="250">
        <v>0.5</v>
      </c>
      <c r="S217" s="250">
        <v>0.5</v>
      </c>
      <c r="T217" s="250">
        <v>0.5</v>
      </c>
      <c r="U217" s="26"/>
      <c r="V217" s="250">
        <v>0.5</v>
      </c>
      <c r="W217" s="250">
        <v>0.7</v>
      </c>
      <c r="X217" s="250">
        <v>0.7</v>
      </c>
      <c r="Y217" s="250">
        <v>0.7</v>
      </c>
      <c r="Z217" s="250">
        <v>0.7</v>
      </c>
      <c r="AA217" s="26"/>
      <c r="AB217" s="250">
        <v>0.7</v>
      </c>
      <c r="AC217" s="250">
        <v>1</v>
      </c>
      <c r="AD217" s="250">
        <v>1</v>
      </c>
      <c r="AE217" s="250">
        <v>1</v>
      </c>
      <c r="AF217" s="250">
        <v>1</v>
      </c>
      <c r="AG217" s="26"/>
      <c r="AH217" s="250">
        <v>1</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265"/>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265"/>
    </row>
    <row r="226" spans="1:34" ht="15.75" customHeight="1" x14ac:dyDescent="0.2">
      <c r="A226" s="289"/>
      <c r="B226" s="284" t="s">
        <v>45</v>
      </c>
      <c r="C226" s="284"/>
      <c r="D226" s="25" t="s">
        <v>101</v>
      </c>
      <c r="E226" s="23">
        <v>923</v>
      </c>
      <c r="F226" s="23">
        <v>948</v>
      </c>
      <c r="G226" s="23">
        <v>973</v>
      </c>
      <c r="H226" s="23">
        <v>998</v>
      </c>
      <c r="I226" s="41"/>
      <c r="J226" s="41">
        <v>998</v>
      </c>
      <c r="K226" s="23">
        <v>1023</v>
      </c>
      <c r="L226" s="23">
        <v>1048</v>
      </c>
      <c r="M226" s="23">
        <v>1073</v>
      </c>
      <c r="N226" s="23">
        <v>1098</v>
      </c>
      <c r="O226" s="41"/>
      <c r="P226" s="41">
        <v>1098</v>
      </c>
      <c r="Q226" s="23">
        <v>1148</v>
      </c>
      <c r="R226" s="23">
        <v>1198</v>
      </c>
      <c r="S226" s="23">
        <v>1248</v>
      </c>
      <c r="T226" s="23">
        <v>1298</v>
      </c>
      <c r="U226" s="23"/>
      <c r="V226" s="41">
        <v>1298</v>
      </c>
      <c r="W226" s="23">
        <v>1369</v>
      </c>
      <c r="X226" s="23">
        <v>1440</v>
      </c>
      <c r="Y226" s="23">
        <v>1510</v>
      </c>
      <c r="Z226" s="23">
        <v>1581</v>
      </c>
      <c r="AA226" s="41"/>
      <c r="AB226" s="93">
        <v>1581</v>
      </c>
      <c r="AC226" s="23">
        <v>1602</v>
      </c>
      <c r="AD226" s="23">
        <v>1622</v>
      </c>
      <c r="AE226" s="23">
        <v>1643</v>
      </c>
      <c r="AF226" s="23">
        <v>1663</v>
      </c>
      <c r="AG226" s="41"/>
      <c r="AH226" s="93">
        <v>1663</v>
      </c>
    </row>
    <row r="227" spans="1:34" x14ac:dyDescent="0.2">
      <c r="A227" s="289"/>
      <c r="B227" s="284"/>
      <c r="C227" s="284"/>
      <c r="D227" s="25" t="s">
        <v>32</v>
      </c>
      <c r="E227" s="26">
        <f t="shared" ref="E227:H228" si="0">7.27+25.458</f>
        <v>32.727999999999994</v>
      </c>
      <c r="F227" s="26">
        <f t="shared" si="0"/>
        <v>32.727999999999994</v>
      </c>
      <c r="G227" s="26">
        <f t="shared" si="0"/>
        <v>32.727999999999994</v>
      </c>
      <c r="H227" s="26">
        <f t="shared" si="0"/>
        <v>32.727999999999994</v>
      </c>
      <c r="I227" s="26"/>
      <c r="J227" s="26">
        <f>7.27+25.458</f>
        <v>32.727999999999994</v>
      </c>
      <c r="K227" s="26">
        <f t="shared" ref="K227:N228" si="1">7.27+25.458</f>
        <v>32.727999999999994</v>
      </c>
      <c r="L227" s="26">
        <f t="shared" si="1"/>
        <v>32.727999999999994</v>
      </c>
      <c r="M227" s="26">
        <f t="shared" si="1"/>
        <v>32.727999999999994</v>
      </c>
      <c r="N227" s="26">
        <f t="shared" si="1"/>
        <v>32.727999999999994</v>
      </c>
      <c r="O227" s="26"/>
      <c r="P227" s="26">
        <f>7.27+25.458</f>
        <v>32.727999999999994</v>
      </c>
      <c r="Q227" s="26">
        <f t="shared" ref="Q227:T228" si="2">7.27+25.458</f>
        <v>32.727999999999994</v>
      </c>
      <c r="R227" s="26">
        <f t="shared" si="2"/>
        <v>32.727999999999994</v>
      </c>
      <c r="S227" s="26">
        <f t="shared" si="2"/>
        <v>32.727999999999994</v>
      </c>
      <c r="T227" s="26">
        <f t="shared" si="2"/>
        <v>32.727999999999994</v>
      </c>
      <c r="U227" s="44"/>
      <c r="V227" s="26">
        <f>7.27+25.458</f>
        <v>32.727999999999994</v>
      </c>
      <c r="W227" s="26">
        <f t="shared" ref="W227:Z228" si="3">7.27+25.458+27.43</f>
        <v>60.157999999999994</v>
      </c>
      <c r="X227" s="26">
        <f t="shared" si="3"/>
        <v>60.157999999999994</v>
      </c>
      <c r="Y227" s="26">
        <f t="shared" si="3"/>
        <v>60.157999999999994</v>
      </c>
      <c r="Z227" s="26">
        <f t="shared" si="3"/>
        <v>60.157999999999994</v>
      </c>
      <c r="AA227" s="26"/>
      <c r="AB227" s="26">
        <f>7.27+25.458+27.43</f>
        <v>60.157999999999994</v>
      </c>
      <c r="AC227" s="26">
        <f t="shared" ref="AC227:AF228" si="4">7.27+25.458+27.43</f>
        <v>60.157999999999994</v>
      </c>
      <c r="AD227" s="26">
        <f t="shared" si="4"/>
        <v>60.157999999999994</v>
      </c>
      <c r="AE227" s="26">
        <f t="shared" si="4"/>
        <v>60.157999999999994</v>
      </c>
      <c r="AF227" s="26">
        <f t="shared" si="4"/>
        <v>60.157999999999994</v>
      </c>
      <c r="AG227" s="26"/>
      <c r="AH227" s="58">
        <f>AB227</f>
        <v>60.157999999999994</v>
      </c>
    </row>
    <row r="228" spans="1:34" ht="15.75" customHeight="1" x14ac:dyDescent="0.2">
      <c r="A228" s="289"/>
      <c r="B228" s="284" t="s">
        <v>46</v>
      </c>
      <c r="C228" s="284"/>
      <c r="D228" s="25" t="s">
        <v>32</v>
      </c>
      <c r="E228" s="26">
        <f t="shared" si="0"/>
        <v>32.727999999999994</v>
      </c>
      <c r="F228" s="26">
        <f t="shared" si="0"/>
        <v>32.727999999999994</v>
      </c>
      <c r="G228" s="26">
        <f t="shared" si="0"/>
        <v>32.727999999999994</v>
      </c>
      <c r="H228" s="26">
        <f t="shared" si="0"/>
        <v>32.727999999999994</v>
      </c>
      <c r="I228" s="26"/>
      <c r="J228" s="26">
        <f>7.27+25.458</f>
        <v>32.727999999999994</v>
      </c>
      <c r="K228" s="26">
        <f t="shared" si="1"/>
        <v>32.727999999999994</v>
      </c>
      <c r="L228" s="26">
        <f t="shared" si="1"/>
        <v>32.727999999999994</v>
      </c>
      <c r="M228" s="26">
        <f t="shared" si="1"/>
        <v>32.727999999999994</v>
      </c>
      <c r="N228" s="26">
        <f t="shared" si="1"/>
        <v>32.727999999999994</v>
      </c>
      <c r="O228" s="26"/>
      <c r="P228" s="26">
        <f>7.27+25.458</f>
        <v>32.727999999999994</v>
      </c>
      <c r="Q228" s="26">
        <f t="shared" si="2"/>
        <v>32.727999999999994</v>
      </c>
      <c r="R228" s="26">
        <f t="shared" si="2"/>
        <v>32.727999999999994</v>
      </c>
      <c r="S228" s="26">
        <f t="shared" si="2"/>
        <v>32.727999999999994</v>
      </c>
      <c r="T228" s="26">
        <f t="shared" si="2"/>
        <v>32.727999999999994</v>
      </c>
      <c r="U228" s="44"/>
      <c r="V228" s="26">
        <f>7.27+25.458</f>
        <v>32.727999999999994</v>
      </c>
      <c r="W228" s="26">
        <f t="shared" si="3"/>
        <v>60.157999999999994</v>
      </c>
      <c r="X228" s="26">
        <f t="shared" si="3"/>
        <v>60.157999999999994</v>
      </c>
      <c r="Y228" s="26">
        <f t="shared" si="3"/>
        <v>60.157999999999994</v>
      </c>
      <c r="Z228" s="26">
        <f t="shared" si="3"/>
        <v>60.157999999999994</v>
      </c>
      <c r="AA228" s="26"/>
      <c r="AB228" s="26">
        <f>7.27+25.458+27.43</f>
        <v>60.157999999999994</v>
      </c>
      <c r="AC228" s="26">
        <f t="shared" si="4"/>
        <v>60.157999999999994</v>
      </c>
      <c r="AD228" s="26">
        <f t="shared" si="4"/>
        <v>60.157999999999994</v>
      </c>
      <c r="AE228" s="26">
        <f t="shared" si="4"/>
        <v>60.157999999999994</v>
      </c>
      <c r="AF228" s="26">
        <f t="shared" si="4"/>
        <v>60.157999999999994</v>
      </c>
      <c r="AG228" s="26"/>
      <c r="AH228" s="58">
        <f>AB228</f>
        <v>60.157999999999994</v>
      </c>
    </row>
    <row r="229" spans="1:34" x14ac:dyDescent="0.2">
      <c r="A229" s="289"/>
      <c r="B229" s="284"/>
      <c r="C229" s="284"/>
      <c r="D229" s="25" t="s">
        <v>143</v>
      </c>
      <c r="E229" s="51">
        <v>2689.7624999999998</v>
      </c>
      <c r="F229" s="51">
        <v>2767.7249999999999</v>
      </c>
      <c r="G229" s="51">
        <v>2845.6875</v>
      </c>
      <c r="H229" s="51">
        <v>2923.65</v>
      </c>
      <c r="I229" s="41"/>
      <c r="J229" s="41">
        <v>2923.65</v>
      </c>
      <c r="K229" s="51">
        <v>3001.6125000000002</v>
      </c>
      <c r="L229" s="51">
        <v>3079.5749999999998</v>
      </c>
      <c r="M229" s="51">
        <v>3157.5374999999999</v>
      </c>
      <c r="N229" s="51">
        <v>3235.5</v>
      </c>
      <c r="O229" s="41"/>
      <c r="P229" s="41">
        <v>3235.5</v>
      </c>
      <c r="Q229" s="51">
        <v>3312.8125</v>
      </c>
      <c r="R229" s="51">
        <v>3390.125</v>
      </c>
      <c r="S229" s="51">
        <v>3467.4375</v>
      </c>
      <c r="T229" s="51">
        <v>3544.75</v>
      </c>
      <c r="U229" s="51"/>
      <c r="V229" s="41">
        <v>3544.75</v>
      </c>
      <c r="W229" s="51">
        <v>3621.4124999999999</v>
      </c>
      <c r="X229" s="51">
        <v>3698.0749999999998</v>
      </c>
      <c r="Y229" s="51">
        <v>3774.7375000000002</v>
      </c>
      <c r="Z229" s="51">
        <v>3851.4</v>
      </c>
      <c r="AA229" s="41"/>
      <c r="AB229" s="41">
        <v>3851.4</v>
      </c>
      <c r="AC229" s="51">
        <v>4007.3249999999998</v>
      </c>
      <c r="AD229" s="51">
        <v>4163.25</v>
      </c>
      <c r="AE229" s="51">
        <v>4319.1750000000002</v>
      </c>
      <c r="AF229" s="51">
        <v>4475.1000000000004</v>
      </c>
      <c r="AG229" s="41"/>
      <c r="AH229" s="41">
        <v>4475.1000000000004</v>
      </c>
    </row>
    <row r="230" spans="1:34" ht="15.75" customHeight="1" x14ac:dyDescent="0.2">
      <c r="A230" s="289"/>
      <c r="B230" s="284" t="s">
        <v>47</v>
      </c>
      <c r="C230" s="284"/>
      <c r="D230" s="25" t="s">
        <v>32</v>
      </c>
      <c r="E230" s="45">
        <v>35.57</v>
      </c>
      <c r="F230" s="45">
        <v>35.57</v>
      </c>
      <c r="G230" s="45">
        <v>35.57</v>
      </c>
      <c r="H230" s="45">
        <v>35.57</v>
      </c>
      <c r="I230" s="41"/>
      <c r="J230" s="26">
        <f>1.045+7.27+1.8+25.458</f>
        <v>35.573</v>
      </c>
      <c r="K230" s="26">
        <f>1.045+7.27+1.8+25.458</f>
        <v>35.573</v>
      </c>
      <c r="L230" s="26">
        <f>1.045+7.27+1.8+25.458</f>
        <v>35.573</v>
      </c>
      <c r="M230" s="26">
        <f>1.045+7.27+1.8+25.458</f>
        <v>35.573</v>
      </c>
      <c r="N230" s="26">
        <f>1.045+7.27+1.8+25.458</f>
        <v>35.573</v>
      </c>
      <c r="O230" s="26"/>
      <c r="P230" s="26">
        <f>J230</f>
        <v>35.573</v>
      </c>
      <c r="Q230" s="26">
        <v>35.57</v>
      </c>
      <c r="R230" s="26">
        <v>35.57</v>
      </c>
      <c r="S230" s="26">
        <v>35.57</v>
      </c>
      <c r="T230" s="26">
        <v>35.57</v>
      </c>
      <c r="U230" s="44"/>
      <c r="V230" s="26">
        <f>P230</f>
        <v>35.573</v>
      </c>
      <c r="W230" s="26">
        <v>43.327500000000001</v>
      </c>
      <c r="X230" s="26">
        <v>51.082000000000001</v>
      </c>
      <c r="Y230" s="26">
        <v>58.836500000000001</v>
      </c>
      <c r="Z230" s="26">
        <v>66.591000000000008</v>
      </c>
      <c r="AA230" s="26"/>
      <c r="AB230" s="26">
        <f>V230+3.588+27.43</f>
        <v>66.591000000000008</v>
      </c>
      <c r="AC230" s="26">
        <v>66.59</v>
      </c>
      <c r="AD230" s="26">
        <v>66.59</v>
      </c>
      <c r="AE230" s="26">
        <v>66.59</v>
      </c>
      <c r="AF230" s="26">
        <v>66.59</v>
      </c>
      <c r="AG230" s="26"/>
      <c r="AH230" s="58">
        <f>AB230</f>
        <v>66.591000000000008</v>
      </c>
    </row>
    <row r="231" spans="1:34" x14ac:dyDescent="0.2">
      <c r="A231" s="289"/>
      <c r="B231" s="284"/>
      <c r="C231" s="284"/>
      <c r="D231" s="25" t="s">
        <v>143</v>
      </c>
      <c r="E231" s="51">
        <v>2689.7624999999998</v>
      </c>
      <c r="F231" s="51">
        <v>2767.7249999999999</v>
      </c>
      <c r="G231" s="51">
        <v>2845.6875</v>
      </c>
      <c r="H231" s="51">
        <v>2923.65</v>
      </c>
      <c r="I231" s="41"/>
      <c r="J231" s="41">
        <v>2923.65</v>
      </c>
      <c r="K231" s="51">
        <v>3001.6125000000002</v>
      </c>
      <c r="L231" s="51">
        <v>3079.5749999999998</v>
      </c>
      <c r="M231" s="51">
        <v>3157.5374999999999</v>
      </c>
      <c r="N231" s="51">
        <v>3235.5</v>
      </c>
      <c r="O231" s="41"/>
      <c r="P231" s="41">
        <v>3235.5</v>
      </c>
      <c r="Q231" s="51">
        <v>3312.8125</v>
      </c>
      <c r="R231" s="51">
        <v>3390.125</v>
      </c>
      <c r="S231" s="51">
        <v>3467.4375</v>
      </c>
      <c r="T231" s="51">
        <v>3544.75</v>
      </c>
      <c r="U231" s="51"/>
      <c r="V231" s="41">
        <v>3544.75</v>
      </c>
      <c r="W231" s="51">
        <v>3621.4124999999999</v>
      </c>
      <c r="X231" s="51">
        <v>3698.0749999999998</v>
      </c>
      <c r="Y231" s="51">
        <v>3774.7375000000002</v>
      </c>
      <c r="Z231" s="51">
        <v>3851.4</v>
      </c>
      <c r="AA231" s="41"/>
      <c r="AB231" s="41">
        <v>3851.4</v>
      </c>
      <c r="AC231" s="51">
        <v>4007.3249999999998</v>
      </c>
      <c r="AD231" s="51">
        <v>4163.25</v>
      </c>
      <c r="AE231" s="51">
        <v>4319.1750000000002</v>
      </c>
      <c r="AF231" s="51">
        <v>4475.1000000000004</v>
      </c>
      <c r="AG231" s="41"/>
      <c r="AH231" s="41">
        <v>4475.1000000000004</v>
      </c>
    </row>
    <row r="232" spans="1:34" x14ac:dyDescent="0.2">
      <c r="A232" s="289"/>
      <c r="B232" s="284" t="s">
        <v>36</v>
      </c>
      <c r="C232" s="284"/>
      <c r="D232" s="25" t="s">
        <v>144</v>
      </c>
      <c r="E232" s="23">
        <v>372</v>
      </c>
      <c r="F232" s="23">
        <v>386</v>
      </c>
      <c r="G232" s="23">
        <v>400</v>
      </c>
      <c r="H232" s="23">
        <v>414</v>
      </c>
      <c r="I232" s="41"/>
      <c r="J232" s="41">
        <v>414</v>
      </c>
      <c r="K232" s="23">
        <v>428</v>
      </c>
      <c r="L232" s="23">
        <v>442</v>
      </c>
      <c r="M232" s="23">
        <v>456</v>
      </c>
      <c r="N232" s="23">
        <v>470</v>
      </c>
      <c r="O232" s="41"/>
      <c r="P232" s="41">
        <v>470</v>
      </c>
      <c r="Q232" s="23">
        <v>545</v>
      </c>
      <c r="R232" s="23">
        <v>620</v>
      </c>
      <c r="S232" s="23">
        <v>695</v>
      </c>
      <c r="T232" s="23">
        <v>770</v>
      </c>
      <c r="U232" s="41"/>
      <c r="V232" s="41">
        <v>770</v>
      </c>
      <c r="W232" s="23">
        <v>870</v>
      </c>
      <c r="X232" s="23">
        <v>970</v>
      </c>
      <c r="Y232" s="23">
        <v>1070</v>
      </c>
      <c r="Z232" s="23">
        <v>1170</v>
      </c>
      <c r="AA232" s="41"/>
      <c r="AB232" s="41">
        <v>1170</v>
      </c>
      <c r="AC232" s="23">
        <v>1255</v>
      </c>
      <c r="AD232" s="23">
        <v>1341</v>
      </c>
      <c r="AE232" s="23">
        <v>1426</v>
      </c>
      <c r="AF232" s="23">
        <v>1511</v>
      </c>
      <c r="AG232" s="41"/>
      <c r="AH232" s="41">
        <v>1511</v>
      </c>
    </row>
    <row r="233" spans="1:34" s="37" customFormat="1" x14ac:dyDescent="0.2">
      <c r="A233" s="289"/>
      <c r="B233" s="284"/>
      <c r="C233" s="284"/>
      <c r="D233" s="25" t="s">
        <v>32</v>
      </c>
      <c r="E233" s="26">
        <v>15.89</v>
      </c>
      <c r="F233" s="26">
        <v>15.89</v>
      </c>
      <c r="G233" s="26">
        <v>15.89</v>
      </c>
      <c r="H233" s="26">
        <v>15.89</v>
      </c>
      <c r="I233" s="26"/>
      <c r="J233" s="26">
        <v>15.89</v>
      </c>
      <c r="K233" s="26">
        <v>15.89</v>
      </c>
      <c r="L233" s="26">
        <v>15.89</v>
      </c>
      <c r="M233" s="26">
        <v>15.89</v>
      </c>
      <c r="N233" s="26">
        <v>15.89</v>
      </c>
      <c r="O233" s="26"/>
      <c r="P233" s="26">
        <f>J233</f>
        <v>15.89</v>
      </c>
      <c r="Q233" s="26">
        <f>K233</f>
        <v>15.89</v>
      </c>
      <c r="R233" s="26">
        <f>L233</f>
        <v>15.89</v>
      </c>
      <c r="S233" s="26">
        <f>M233</f>
        <v>15.89</v>
      </c>
      <c r="T233" s="26">
        <f>N233</f>
        <v>15.89</v>
      </c>
      <c r="U233" s="26"/>
      <c r="V233" s="26">
        <f>P233</f>
        <v>15.89</v>
      </c>
      <c r="W233" s="26">
        <f>Q233+29.974+1.863</f>
        <v>47.727000000000004</v>
      </c>
      <c r="X233" s="26">
        <f>R233+29.974+1.863</f>
        <v>47.727000000000004</v>
      </c>
      <c r="Y233" s="26">
        <f>S233+29.974+1.863</f>
        <v>47.727000000000004</v>
      </c>
      <c r="Z233" s="26">
        <f>T233+29.974+1.863</f>
        <v>47.727000000000004</v>
      </c>
      <c r="AA233" s="26"/>
      <c r="AB233" s="26">
        <f>V233+29.974+1.863</f>
        <v>47.727000000000004</v>
      </c>
      <c r="AC233" s="26">
        <f>W233+29.974+1.863</f>
        <v>79.564000000000007</v>
      </c>
      <c r="AD233" s="26">
        <f>X233+29.974+1.863</f>
        <v>79.564000000000007</v>
      </c>
      <c r="AE233" s="26">
        <f>Y233+29.974+1.863</f>
        <v>79.564000000000007</v>
      </c>
      <c r="AF233" s="26">
        <f>Z233+29.974+1.863</f>
        <v>79.564000000000007</v>
      </c>
      <c r="AG233" s="26"/>
      <c r="AH233" s="26">
        <f>AB233</f>
        <v>47.727000000000004</v>
      </c>
    </row>
    <row r="234" spans="1:34" ht="15.75" customHeight="1" x14ac:dyDescent="0.2">
      <c r="A234" s="289"/>
      <c r="B234" s="284" t="s">
        <v>48</v>
      </c>
      <c r="C234" s="284"/>
      <c r="D234" s="24" t="s">
        <v>143</v>
      </c>
      <c r="E234" s="41">
        <v>734.8125</v>
      </c>
      <c r="F234" s="41">
        <v>814.72500000000002</v>
      </c>
      <c r="G234" s="41">
        <v>894.63750000000005</v>
      </c>
      <c r="H234" s="41">
        <v>974.55</v>
      </c>
      <c r="I234" s="41"/>
      <c r="J234" s="47">
        <v>974.55</v>
      </c>
      <c r="K234" s="47">
        <v>1054.4625000000001</v>
      </c>
      <c r="L234" s="47">
        <v>1134.375</v>
      </c>
      <c r="M234" s="47">
        <v>1214.2874999999999</v>
      </c>
      <c r="N234" s="47">
        <v>1294.2</v>
      </c>
      <c r="O234" s="41"/>
      <c r="P234" s="41">
        <v>1294.2</v>
      </c>
      <c r="Q234" s="47">
        <v>1454.0250000000001</v>
      </c>
      <c r="R234" s="47">
        <v>1613.85</v>
      </c>
      <c r="S234" s="47">
        <v>1773.675</v>
      </c>
      <c r="T234" s="47">
        <v>1933.5</v>
      </c>
      <c r="U234" s="41"/>
      <c r="V234" s="41">
        <v>1933.5</v>
      </c>
      <c r="W234" s="47">
        <v>2252.5</v>
      </c>
      <c r="X234" s="47">
        <v>2571.5</v>
      </c>
      <c r="Y234" s="47">
        <v>2890.5</v>
      </c>
      <c r="Z234" s="47">
        <v>3209.5</v>
      </c>
      <c r="AA234" s="41"/>
      <c r="AB234" s="41">
        <v>3209.5</v>
      </c>
      <c r="AC234" s="47">
        <v>3477.9524999999999</v>
      </c>
      <c r="AD234" s="47">
        <v>3746.4050000000002</v>
      </c>
      <c r="AE234" s="47">
        <v>4014.8575000000001</v>
      </c>
      <c r="AF234" s="47">
        <v>4283.3100000000004</v>
      </c>
      <c r="AG234" s="41"/>
      <c r="AH234" s="41">
        <v>4283.3100000000004</v>
      </c>
    </row>
    <row r="235" spans="1:34" x14ac:dyDescent="0.2">
      <c r="A235" s="289"/>
      <c r="B235" s="284"/>
      <c r="C235" s="284"/>
      <c r="D235" s="24" t="s">
        <v>143</v>
      </c>
      <c r="E235" s="23">
        <f>6523-26</f>
        <v>6497</v>
      </c>
      <c r="F235" s="23">
        <f>6523-26</f>
        <v>6497</v>
      </c>
      <c r="G235" s="23">
        <f>6523-26</f>
        <v>6497</v>
      </c>
      <c r="H235" s="23">
        <f>6523-26</f>
        <v>6497</v>
      </c>
      <c r="I235" s="41"/>
      <c r="J235" s="23">
        <f>6523-26</f>
        <v>6497</v>
      </c>
      <c r="K235" s="41">
        <f>E235-26</f>
        <v>6471</v>
      </c>
      <c r="L235" s="41">
        <f>F235-26</f>
        <v>6471</v>
      </c>
      <c r="M235" s="41">
        <f>G235-26</f>
        <v>6471</v>
      </c>
      <c r="N235" s="41">
        <f>H235-26</f>
        <v>6471</v>
      </c>
      <c r="O235" s="41"/>
      <c r="P235" s="41">
        <f>J235-26</f>
        <v>6471</v>
      </c>
      <c r="Q235" s="41">
        <f>K235-26</f>
        <v>6445</v>
      </c>
      <c r="R235" s="41">
        <f>L235-26</f>
        <v>6445</v>
      </c>
      <c r="S235" s="41">
        <f>M235-26</f>
        <v>6445</v>
      </c>
      <c r="T235" s="41">
        <f>N235-26</f>
        <v>6445</v>
      </c>
      <c r="U235" s="41"/>
      <c r="V235" s="41">
        <f>P235-26</f>
        <v>6445</v>
      </c>
      <c r="W235" s="41">
        <f>Q235-26</f>
        <v>6419</v>
      </c>
      <c r="X235" s="41">
        <f>R235-26</f>
        <v>6419</v>
      </c>
      <c r="Y235" s="41">
        <f>S235-26</f>
        <v>6419</v>
      </c>
      <c r="Z235" s="41">
        <f>T235-26</f>
        <v>6419</v>
      </c>
      <c r="AA235" s="41"/>
      <c r="AB235" s="41">
        <f>V235-26</f>
        <v>6419</v>
      </c>
      <c r="AC235" s="41">
        <f>W235-26</f>
        <v>6393</v>
      </c>
      <c r="AD235" s="41">
        <f>X235-26</f>
        <v>6393</v>
      </c>
      <c r="AE235" s="41">
        <f>Y235-26</f>
        <v>6393</v>
      </c>
      <c r="AF235" s="41">
        <f>Z235-26</f>
        <v>6393</v>
      </c>
      <c r="AG235" s="41"/>
      <c r="AH235" s="41">
        <f>AB235-26</f>
        <v>6393</v>
      </c>
    </row>
    <row r="236" spans="1:34" x14ac:dyDescent="0.2">
      <c r="A236" s="17">
        <v>3.2</v>
      </c>
      <c r="B236" s="448" t="s">
        <v>37</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9"/>
      <c r="D256" s="9"/>
    </row>
  </sheetData>
  <mergeCells count="2922">
    <mergeCell ref="J253:J254"/>
    <mergeCell ref="P253:P254"/>
    <mergeCell ref="V253:V254"/>
    <mergeCell ref="AB253:AB254"/>
    <mergeCell ref="AH253:AH254"/>
    <mergeCell ref="J249:J250"/>
    <mergeCell ref="P249:P250"/>
    <mergeCell ref="V249:V250"/>
    <mergeCell ref="AB249:AB250"/>
    <mergeCell ref="AH249:AH250"/>
    <mergeCell ref="J251:J252"/>
    <mergeCell ref="P251:P252"/>
    <mergeCell ref="V251:V252"/>
    <mergeCell ref="AB251:AB252"/>
    <mergeCell ref="AH251:AH252"/>
    <mergeCell ref="J245:J246"/>
    <mergeCell ref="P245:P246"/>
    <mergeCell ref="V245:V246"/>
    <mergeCell ref="AB245:AB246"/>
    <mergeCell ref="AH245:AH246"/>
    <mergeCell ref="J247:J248"/>
    <mergeCell ref="P247:P248"/>
    <mergeCell ref="V247:V248"/>
    <mergeCell ref="AB247:AB248"/>
    <mergeCell ref="AH247:AH248"/>
    <mergeCell ref="AD245:AD246"/>
    <mergeCell ref="AE245:AE246"/>
    <mergeCell ref="AF245:AF246"/>
    <mergeCell ref="AD247:AD248"/>
    <mergeCell ref="AE247:AE248"/>
    <mergeCell ref="AF247:AF248"/>
    <mergeCell ref="AD249:AD250"/>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AD243:AD244"/>
    <mergeCell ref="AE243:AE244"/>
    <mergeCell ref="AF243:AF244"/>
    <mergeCell ref="P217:P218"/>
    <mergeCell ref="V217:V218"/>
    <mergeCell ref="AB217:AB218"/>
    <mergeCell ref="AH217:AH218"/>
    <mergeCell ref="AH213:AH214"/>
    <mergeCell ref="G222:H222"/>
    <mergeCell ref="M222:N222"/>
    <mergeCell ref="S222:T222"/>
    <mergeCell ref="Y222:Z222"/>
    <mergeCell ref="AE222:AF222"/>
    <mergeCell ref="J215:J216"/>
    <mergeCell ref="P215:P216"/>
    <mergeCell ref="V215:V216"/>
    <mergeCell ref="AB215:AB216"/>
    <mergeCell ref="J210:J211"/>
    <mergeCell ref="P210:P211"/>
    <mergeCell ref="V210:V211"/>
    <mergeCell ref="AB210:AB211"/>
    <mergeCell ref="AH210:AH211"/>
    <mergeCell ref="AH215:AH216"/>
    <mergeCell ref="J213:J214"/>
    <mergeCell ref="P213:P214"/>
    <mergeCell ref="V213:V214"/>
    <mergeCell ref="AB213:AB214"/>
    <mergeCell ref="M217:M218"/>
    <mergeCell ref="N217:N218"/>
    <mergeCell ref="Q213:Q214"/>
    <mergeCell ref="R213:R214"/>
    <mergeCell ref="S213:S214"/>
    <mergeCell ref="T213:T214"/>
    <mergeCell ref="Q215:Q216"/>
    <mergeCell ref="J206:J207"/>
    <mergeCell ref="P206:P207"/>
    <mergeCell ref="V206:V207"/>
    <mergeCell ref="AB206:AB207"/>
    <mergeCell ref="AH206:AH207"/>
    <mergeCell ref="J208:J209"/>
    <mergeCell ref="P208:P209"/>
    <mergeCell ref="V208:V209"/>
    <mergeCell ref="AB208:AB209"/>
    <mergeCell ref="AH208:AH209"/>
    <mergeCell ref="AH202:AH203"/>
    <mergeCell ref="D204:D205"/>
    <mergeCell ref="J204:J205"/>
    <mergeCell ref="P204:P205"/>
    <mergeCell ref="V204:V205"/>
    <mergeCell ref="AB204:AB205"/>
    <mergeCell ref="AH204:AH205"/>
    <mergeCell ref="E202:E203"/>
    <mergeCell ref="F202:F203"/>
    <mergeCell ref="G202:G203"/>
    <mergeCell ref="K202:K203"/>
    <mergeCell ref="L202:L203"/>
    <mergeCell ref="M202:M203"/>
    <mergeCell ref="N202:N203"/>
    <mergeCell ref="K204:K205"/>
    <mergeCell ref="L204:L205"/>
    <mergeCell ref="M204:M205"/>
    <mergeCell ref="N204:N205"/>
    <mergeCell ref="K206:K207"/>
    <mergeCell ref="L206:L207"/>
    <mergeCell ref="M206:M207"/>
    <mergeCell ref="N206:N207"/>
    <mergeCell ref="J200:J201"/>
    <mergeCell ref="P200:P201"/>
    <mergeCell ref="V200:V201"/>
    <mergeCell ref="AB200:AB201"/>
    <mergeCell ref="AH200:AH201"/>
    <mergeCell ref="D202:D203"/>
    <mergeCell ref="J202:J203"/>
    <mergeCell ref="P202:P203"/>
    <mergeCell ref="V202:V203"/>
    <mergeCell ref="AB202:AB203"/>
    <mergeCell ref="J196:J197"/>
    <mergeCell ref="P196:P197"/>
    <mergeCell ref="V196:V197"/>
    <mergeCell ref="AB196:AB197"/>
    <mergeCell ref="AH196:AH197"/>
    <mergeCell ref="J198:J199"/>
    <mergeCell ref="P198:P199"/>
    <mergeCell ref="V198:V199"/>
    <mergeCell ref="AB198:AB199"/>
    <mergeCell ref="AH198:AH199"/>
    <mergeCell ref="K196:K197"/>
    <mergeCell ref="L196:L197"/>
    <mergeCell ref="M196:M197"/>
    <mergeCell ref="N196:N197"/>
    <mergeCell ref="K198:K199"/>
    <mergeCell ref="L198:L199"/>
    <mergeCell ref="M198:M199"/>
    <mergeCell ref="N198:N199"/>
    <mergeCell ref="K200:K201"/>
    <mergeCell ref="L200:L201"/>
    <mergeCell ref="M200:M201"/>
    <mergeCell ref="N200:N201"/>
    <mergeCell ref="AH190:AH191"/>
    <mergeCell ref="J192:J193"/>
    <mergeCell ref="P192:P193"/>
    <mergeCell ref="V192:V193"/>
    <mergeCell ref="AB192:AB193"/>
    <mergeCell ref="AH192:AH193"/>
    <mergeCell ref="J185:J186"/>
    <mergeCell ref="P185:P186"/>
    <mergeCell ref="V185:V186"/>
    <mergeCell ref="AB185:AB186"/>
    <mergeCell ref="AH185:AH186"/>
    <mergeCell ref="J187:J188"/>
    <mergeCell ref="P187:P188"/>
    <mergeCell ref="V187:V188"/>
    <mergeCell ref="AB187:AB188"/>
    <mergeCell ref="AH187:AH188"/>
    <mergeCell ref="AD185:AD186"/>
    <mergeCell ref="AE185:AE186"/>
    <mergeCell ref="AF185:AF186"/>
    <mergeCell ref="AD187:AD188"/>
    <mergeCell ref="AE187:AE188"/>
    <mergeCell ref="AF187:AF188"/>
    <mergeCell ref="AD190:AD191"/>
    <mergeCell ref="AE190:AE191"/>
    <mergeCell ref="AF190:AF191"/>
    <mergeCell ref="AD192:AD193"/>
    <mergeCell ref="AE192:AE193"/>
    <mergeCell ref="AF192:AF193"/>
    <mergeCell ref="AH181:AH182"/>
    <mergeCell ref="J183:J184"/>
    <mergeCell ref="P183:P184"/>
    <mergeCell ref="V183:V184"/>
    <mergeCell ref="AB183:AB184"/>
    <mergeCell ref="AH183:AH184"/>
    <mergeCell ref="J177:J178"/>
    <mergeCell ref="P177:P178"/>
    <mergeCell ref="V177:V178"/>
    <mergeCell ref="AB177:AB178"/>
    <mergeCell ref="AH177:AH178"/>
    <mergeCell ref="J179:J180"/>
    <mergeCell ref="P179:P180"/>
    <mergeCell ref="V179:V180"/>
    <mergeCell ref="AB179:AB180"/>
    <mergeCell ref="AH179:AH180"/>
    <mergeCell ref="AD177:AD178"/>
    <mergeCell ref="AE177:AE178"/>
    <mergeCell ref="AF177:AF178"/>
    <mergeCell ref="AD179:AD180"/>
    <mergeCell ref="AE179:AE180"/>
    <mergeCell ref="AF179:AF180"/>
    <mergeCell ref="AD181:AD182"/>
    <mergeCell ref="AE181:AE182"/>
    <mergeCell ref="AF181:AF182"/>
    <mergeCell ref="AD183:AD184"/>
    <mergeCell ref="AE183:AE184"/>
    <mergeCell ref="AF183:AF184"/>
    <mergeCell ref="AH173:AH174"/>
    <mergeCell ref="J175:J176"/>
    <mergeCell ref="P175:P176"/>
    <mergeCell ref="V175:V176"/>
    <mergeCell ref="AB175:AB176"/>
    <mergeCell ref="AH175:AH176"/>
    <mergeCell ref="J169:J170"/>
    <mergeCell ref="P169:P170"/>
    <mergeCell ref="V169:V170"/>
    <mergeCell ref="AB169:AB170"/>
    <mergeCell ref="AH169:AH170"/>
    <mergeCell ref="J171:J172"/>
    <mergeCell ref="P171:P172"/>
    <mergeCell ref="V171:V172"/>
    <mergeCell ref="AB171:AB172"/>
    <mergeCell ref="AH171:AH172"/>
    <mergeCell ref="AD169:AD170"/>
    <mergeCell ref="AE169:AE170"/>
    <mergeCell ref="AF169:AF170"/>
    <mergeCell ref="AD171:AD172"/>
    <mergeCell ref="AE171:AE172"/>
    <mergeCell ref="AF171:AF172"/>
    <mergeCell ref="AD173:AD174"/>
    <mergeCell ref="AE173:AE174"/>
    <mergeCell ref="AF173:AF174"/>
    <mergeCell ref="AD175:AD176"/>
    <mergeCell ref="AE175:AE176"/>
    <mergeCell ref="AF175:AF176"/>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AD161:AD162"/>
    <mergeCell ref="AE161:AE162"/>
    <mergeCell ref="AF161:AF162"/>
    <mergeCell ref="AD163:AD164"/>
    <mergeCell ref="AE163:AE164"/>
    <mergeCell ref="AF163:AF164"/>
    <mergeCell ref="AD165:AD166"/>
    <mergeCell ref="AE165:AE166"/>
    <mergeCell ref="AF165:AF166"/>
    <mergeCell ref="AD167:AD168"/>
    <mergeCell ref="AE167:AE168"/>
    <mergeCell ref="AF167:AF168"/>
    <mergeCell ref="AH157:AH158"/>
    <mergeCell ref="J159:J160"/>
    <mergeCell ref="P159:P160"/>
    <mergeCell ref="V159:V160"/>
    <mergeCell ref="AB159:AB160"/>
    <mergeCell ref="AH159:AH160"/>
    <mergeCell ref="J153:J154"/>
    <mergeCell ref="P153:P154"/>
    <mergeCell ref="V153:V154"/>
    <mergeCell ref="AB153:AB154"/>
    <mergeCell ref="AH153:AH154"/>
    <mergeCell ref="J155:J156"/>
    <mergeCell ref="P155:P156"/>
    <mergeCell ref="V155:V156"/>
    <mergeCell ref="AB155:AB156"/>
    <mergeCell ref="AH155:AH156"/>
    <mergeCell ref="AD155:AD156"/>
    <mergeCell ref="AE155:AE156"/>
    <mergeCell ref="AF155:AF156"/>
    <mergeCell ref="AD157:AD158"/>
    <mergeCell ref="AE157:AE158"/>
    <mergeCell ref="AF157:AF158"/>
    <mergeCell ref="AD159:AD160"/>
    <mergeCell ref="AE159:AE160"/>
    <mergeCell ref="AF159:AF160"/>
    <mergeCell ref="J148:J149"/>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Y141:Y142"/>
    <mergeCell ref="Z141:Z142"/>
    <mergeCell ref="AA141:AA142"/>
    <mergeCell ref="AC141:AC142"/>
    <mergeCell ref="AD141:AD142"/>
    <mergeCell ref="AE141:AE142"/>
    <mergeCell ref="AF141:AF142"/>
    <mergeCell ref="AG141:AG142"/>
    <mergeCell ref="Y146:Y147"/>
    <mergeCell ref="Z146:Z147"/>
    <mergeCell ref="AA146:AA147"/>
    <mergeCell ref="AC146:AC147"/>
    <mergeCell ref="J137:J138"/>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AG133:AG134"/>
    <mergeCell ref="Y135:Y136"/>
    <mergeCell ref="Z135:Z136"/>
    <mergeCell ref="AA135:AA136"/>
    <mergeCell ref="AC135:AC136"/>
    <mergeCell ref="AD135:AD136"/>
    <mergeCell ref="AE135:AE136"/>
    <mergeCell ref="AF135:AF136"/>
    <mergeCell ref="AG135:AG136"/>
    <mergeCell ref="Y137:Y138"/>
    <mergeCell ref="Z137:Z138"/>
    <mergeCell ref="AA137:AA138"/>
    <mergeCell ref="J129:J130"/>
    <mergeCell ref="P129:P130"/>
    <mergeCell ref="V129:V130"/>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Z125:Z126"/>
    <mergeCell ref="AA125:AA126"/>
    <mergeCell ref="AB125:AB126"/>
    <mergeCell ref="AC125:AC126"/>
    <mergeCell ref="AD125:AD126"/>
    <mergeCell ref="AE125:AE126"/>
    <mergeCell ref="AF125:AF126"/>
    <mergeCell ref="AG125:AG126"/>
    <mergeCell ref="AH125:AH126"/>
    <mergeCell ref="Y127:Y128"/>
    <mergeCell ref="Z127:Z128"/>
    <mergeCell ref="AA127:AA128"/>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4:AD105"/>
    <mergeCell ref="AE104:AE105"/>
    <mergeCell ref="AF104:AF105"/>
    <mergeCell ref="AD106:AD107"/>
    <mergeCell ref="AE106:AE107"/>
    <mergeCell ref="AF106:AF107"/>
    <mergeCell ref="AD110:AD111"/>
    <mergeCell ref="AE110:AE111"/>
    <mergeCell ref="AF110:AF111"/>
    <mergeCell ref="AD112:AD113"/>
    <mergeCell ref="AE112:AE113"/>
    <mergeCell ref="AF112:AF113"/>
    <mergeCell ref="AH100:AH101"/>
    <mergeCell ref="J102:J103"/>
    <mergeCell ref="P102:P103"/>
    <mergeCell ref="V102:V103"/>
    <mergeCell ref="AB102:AB103"/>
    <mergeCell ref="AH102:AH103"/>
    <mergeCell ref="J98:J99"/>
    <mergeCell ref="P98:P99"/>
    <mergeCell ref="V98:V99"/>
    <mergeCell ref="AB98:AB99"/>
    <mergeCell ref="AH98:AH99"/>
    <mergeCell ref="Q96:Q97"/>
    <mergeCell ref="R96:R97"/>
    <mergeCell ref="S96:S97"/>
    <mergeCell ref="AD98:AD99"/>
    <mergeCell ref="AE98:AE99"/>
    <mergeCell ref="AF98:AF99"/>
    <mergeCell ref="AD100:AD101"/>
    <mergeCell ref="AE100:AE101"/>
    <mergeCell ref="AF100:AF101"/>
    <mergeCell ref="AD102:AD103"/>
    <mergeCell ref="AE102:AE103"/>
    <mergeCell ref="AF102:AF103"/>
    <mergeCell ref="V93:V94"/>
    <mergeCell ref="AB93:AB94"/>
    <mergeCell ref="AH93:AH94"/>
    <mergeCell ref="D96:D97"/>
    <mergeCell ref="J96:J97"/>
    <mergeCell ref="P96:P97"/>
    <mergeCell ref="V96:V97"/>
    <mergeCell ref="AB96:AB97"/>
    <mergeCell ref="AH96:AH97"/>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J89:J90"/>
    <mergeCell ref="M89:M90"/>
    <mergeCell ref="N89:N90"/>
    <mergeCell ref="Q89:Q90"/>
    <mergeCell ref="R89:R90"/>
    <mergeCell ref="S89:S90"/>
    <mergeCell ref="T89:T90"/>
    <mergeCell ref="P89:P90"/>
    <mergeCell ref="W89:W90"/>
    <mergeCell ref="AB85:AB86"/>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Z85:Z86"/>
    <mergeCell ref="AC85:AC86"/>
    <mergeCell ref="AD85:AD86"/>
    <mergeCell ref="AE85:AE86"/>
    <mergeCell ref="AF85:AF86"/>
    <mergeCell ref="AD87:AD88"/>
    <mergeCell ref="AE87:AE88"/>
    <mergeCell ref="AF87:AF88"/>
    <mergeCell ref="D74:D75"/>
    <mergeCell ref="J74:J75"/>
    <mergeCell ref="P74:P75"/>
    <mergeCell ref="V74:V75"/>
    <mergeCell ref="AB74:AB75"/>
    <mergeCell ref="AH74:AH75"/>
    <mergeCell ref="M74:M75"/>
    <mergeCell ref="N74:N75"/>
    <mergeCell ref="Q74:Q75"/>
    <mergeCell ref="R74:R75"/>
    <mergeCell ref="D71:D72"/>
    <mergeCell ref="J71:J72"/>
    <mergeCell ref="P71:P72"/>
    <mergeCell ref="V71:V72"/>
    <mergeCell ref="AB71:AB72"/>
    <mergeCell ref="AH71:AH72"/>
    <mergeCell ref="M71:M72"/>
    <mergeCell ref="N71:N72"/>
    <mergeCell ref="Q71:Q72"/>
    <mergeCell ref="R71:R72"/>
    <mergeCell ref="E74:E75"/>
    <mergeCell ref="F74:F75"/>
    <mergeCell ref="G74:G75"/>
    <mergeCell ref="H74:H75"/>
    <mergeCell ref="K74:K75"/>
    <mergeCell ref="L74:L75"/>
    <mergeCell ref="S74:S75"/>
    <mergeCell ref="T74:T75"/>
    <mergeCell ref="W74:W75"/>
    <mergeCell ref="X74:X75"/>
    <mergeCell ref="Y74:Y75"/>
    <mergeCell ref="Z74:Z75"/>
    <mergeCell ref="D69:D70"/>
    <mergeCell ref="J69:J70"/>
    <mergeCell ref="P69:P70"/>
    <mergeCell ref="V69:V70"/>
    <mergeCell ref="AB69:AB70"/>
    <mergeCell ref="AH69:AH70"/>
    <mergeCell ref="M69:M70"/>
    <mergeCell ref="N69:N70"/>
    <mergeCell ref="Q69:Q70"/>
    <mergeCell ref="R69:R70"/>
    <mergeCell ref="D67:D68"/>
    <mergeCell ref="J67:J68"/>
    <mergeCell ref="P67:P68"/>
    <mergeCell ref="V67:V68"/>
    <mergeCell ref="AB67:AB68"/>
    <mergeCell ref="AH67:AH68"/>
    <mergeCell ref="M67:M68"/>
    <mergeCell ref="N67:N68"/>
    <mergeCell ref="Q67:Q68"/>
    <mergeCell ref="R67:R68"/>
    <mergeCell ref="E69:E70"/>
    <mergeCell ref="F69:F70"/>
    <mergeCell ref="G69:G70"/>
    <mergeCell ref="H69:H70"/>
    <mergeCell ref="K69:K70"/>
    <mergeCell ref="L69:L70"/>
    <mergeCell ref="S69:S70"/>
    <mergeCell ref="T69:T70"/>
    <mergeCell ref="W69:W70"/>
    <mergeCell ref="X69:X70"/>
    <mergeCell ref="Y69:Y70"/>
    <mergeCell ref="Z69:Z70"/>
    <mergeCell ref="AH65:AH66"/>
    <mergeCell ref="M65:M66"/>
    <mergeCell ref="N65:N66"/>
    <mergeCell ref="Q65:Q66"/>
    <mergeCell ref="R65:R66"/>
    <mergeCell ref="F63:F64"/>
    <mergeCell ref="G63:G64"/>
    <mergeCell ref="H63:H64"/>
    <mergeCell ref="D65:D66"/>
    <mergeCell ref="J65:J66"/>
    <mergeCell ref="P65:P66"/>
    <mergeCell ref="AH61:AH62"/>
    <mergeCell ref="D59:D60"/>
    <mergeCell ref="I59:I60"/>
    <mergeCell ref="D63:D64"/>
    <mergeCell ref="J63:J64"/>
    <mergeCell ref="P63:P64"/>
    <mergeCell ref="V63:V64"/>
    <mergeCell ref="AB63:AB64"/>
    <mergeCell ref="AH63:AH64"/>
    <mergeCell ref="E63:E64"/>
    <mergeCell ref="D61:D62"/>
    <mergeCell ref="I61:I62"/>
    <mergeCell ref="J61:J62"/>
    <mergeCell ref="P61:P62"/>
    <mergeCell ref="V61:V62"/>
    <mergeCell ref="AB61:AB62"/>
    <mergeCell ref="E59:E60"/>
    <mergeCell ref="F59:F60"/>
    <mergeCell ref="G59:G60"/>
    <mergeCell ref="H59:H60"/>
    <mergeCell ref="D56:D57"/>
    <mergeCell ref="I56:I57"/>
    <mergeCell ref="J56:J57"/>
    <mergeCell ref="P56:P57"/>
    <mergeCell ref="V56:V57"/>
    <mergeCell ref="I54:I55"/>
    <mergeCell ref="J54:J55"/>
    <mergeCell ref="P54:P55"/>
    <mergeCell ref="V54:V55"/>
    <mergeCell ref="V59:V60"/>
    <mergeCell ref="AB59:AB60"/>
    <mergeCell ref="AH50:AH51"/>
    <mergeCell ref="AH52:AH53"/>
    <mergeCell ref="X50:X51"/>
    <mergeCell ref="Y50:Y51"/>
    <mergeCell ref="Z50:Z51"/>
    <mergeCell ref="AH54:AH55"/>
    <mergeCell ref="AH59:AH60"/>
    <mergeCell ref="D52:D53"/>
    <mergeCell ref="I52:I53"/>
    <mergeCell ref="J52:J53"/>
    <mergeCell ref="P52:P53"/>
    <mergeCell ref="V52:V53"/>
    <mergeCell ref="AB52:AB53"/>
    <mergeCell ref="M52:M53"/>
    <mergeCell ref="N52:N53"/>
    <mergeCell ref="Q52:Q53"/>
    <mergeCell ref="R52:R53"/>
    <mergeCell ref="D50:D51"/>
    <mergeCell ref="I50:I51"/>
    <mergeCell ref="J50:J51"/>
    <mergeCell ref="P50:P51"/>
    <mergeCell ref="AH46:AH47"/>
    <mergeCell ref="D48:D49"/>
    <mergeCell ref="I48:I49"/>
    <mergeCell ref="J48:J49"/>
    <mergeCell ref="P48:P49"/>
    <mergeCell ref="V48:V49"/>
    <mergeCell ref="AB48:AB49"/>
    <mergeCell ref="AH48:AH49"/>
    <mergeCell ref="D46:D47"/>
    <mergeCell ref="I46:I47"/>
    <mergeCell ref="AH42:AH43"/>
    <mergeCell ref="D44:D45"/>
    <mergeCell ref="I44:I45"/>
    <mergeCell ref="J44:J45"/>
    <mergeCell ref="P44:P45"/>
    <mergeCell ref="V44:V45"/>
    <mergeCell ref="L42:L43"/>
    <mergeCell ref="M42:M43"/>
    <mergeCell ref="J46:J47"/>
    <mergeCell ref="P46:P47"/>
    <mergeCell ref="V46:V47"/>
    <mergeCell ref="AB46:AB47"/>
    <mergeCell ref="K42:K43"/>
    <mergeCell ref="N42:N43"/>
    <mergeCell ref="Q42:Q43"/>
    <mergeCell ref="R42:R43"/>
    <mergeCell ref="AH40:AH41"/>
    <mergeCell ref="D37:D38"/>
    <mergeCell ref="J37:J38"/>
    <mergeCell ref="AB44:AB45"/>
    <mergeCell ref="AH44:AH45"/>
    <mergeCell ref="D42:D43"/>
    <mergeCell ref="I42:I43"/>
    <mergeCell ref="J42:J43"/>
    <mergeCell ref="P42:P43"/>
    <mergeCell ref="V42:V43"/>
    <mergeCell ref="D40:D41"/>
    <mergeCell ref="I40:I41"/>
    <mergeCell ref="J40:J41"/>
    <mergeCell ref="P40:P41"/>
    <mergeCell ref="V40:V41"/>
    <mergeCell ref="AB40:AB41"/>
    <mergeCell ref="AH33:AH34"/>
    <mergeCell ref="AB35:AB36"/>
    <mergeCell ref="AH35:AH36"/>
    <mergeCell ref="U33:U34"/>
    <mergeCell ref="W33:W34"/>
    <mergeCell ref="AH37:AH38"/>
    <mergeCell ref="T33:T34"/>
    <mergeCell ref="D35:D36"/>
    <mergeCell ref="I35:I36"/>
    <mergeCell ref="J35:J36"/>
    <mergeCell ref="O35:O36"/>
    <mergeCell ref="P35:P36"/>
    <mergeCell ref="N35:N36"/>
    <mergeCell ref="Q35:Q36"/>
    <mergeCell ref="R35:R36"/>
    <mergeCell ref="S35:S36"/>
    <mergeCell ref="AH31:AH32"/>
    <mergeCell ref="D33:D34"/>
    <mergeCell ref="I33:I34"/>
    <mergeCell ref="J33:J34"/>
    <mergeCell ref="O33:O34"/>
    <mergeCell ref="P33:P34"/>
    <mergeCell ref="V33:V34"/>
    <mergeCell ref="Q33:Q34"/>
    <mergeCell ref="R33:R34"/>
    <mergeCell ref="S33:S34"/>
    <mergeCell ref="H29:H30"/>
    <mergeCell ref="AB29:AB30"/>
    <mergeCell ref="AH29:AH30"/>
    <mergeCell ref="D31:D32"/>
    <mergeCell ref="I31:I32"/>
    <mergeCell ref="J31:J32"/>
    <mergeCell ref="O31:O32"/>
    <mergeCell ref="P31:P32"/>
    <mergeCell ref="V31:V32"/>
    <mergeCell ref="AB31:AB32"/>
    <mergeCell ref="K29:K30"/>
    <mergeCell ref="L29:L30"/>
    <mergeCell ref="M29:M30"/>
    <mergeCell ref="N29:N30"/>
    <mergeCell ref="Q29:Q30"/>
    <mergeCell ref="R29:R30"/>
    <mergeCell ref="S29:S30"/>
    <mergeCell ref="T29:T30"/>
    <mergeCell ref="U29:U30"/>
    <mergeCell ref="W29:W30"/>
    <mergeCell ref="X29:X30"/>
    <mergeCell ref="Y29:Y30"/>
    <mergeCell ref="AH27:AH28"/>
    <mergeCell ref="D29:D30"/>
    <mergeCell ref="I29:I30"/>
    <mergeCell ref="J29:J30"/>
    <mergeCell ref="O29:O30"/>
    <mergeCell ref="P29:P30"/>
    <mergeCell ref="V29:V30"/>
    <mergeCell ref="E29:E30"/>
    <mergeCell ref="F29:F30"/>
    <mergeCell ref="G29:G30"/>
    <mergeCell ref="T25:T26"/>
    <mergeCell ref="AB25:AB26"/>
    <mergeCell ref="AH25:AH26"/>
    <mergeCell ref="D27:D28"/>
    <mergeCell ref="I27:I28"/>
    <mergeCell ref="J27:J28"/>
    <mergeCell ref="O27:O28"/>
    <mergeCell ref="P27:P28"/>
    <mergeCell ref="V27:V28"/>
    <mergeCell ref="AB27:AB28"/>
    <mergeCell ref="E25:E26"/>
    <mergeCell ref="F25:F26"/>
    <mergeCell ref="G25:G26"/>
    <mergeCell ref="H25:H26"/>
    <mergeCell ref="K25:K26"/>
    <mergeCell ref="L25:L26"/>
    <mergeCell ref="M25:M26"/>
    <mergeCell ref="N25:N26"/>
    <mergeCell ref="U25:U26"/>
    <mergeCell ref="W25:W26"/>
    <mergeCell ref="X25:X26"/>
    <mergeCell ref="Y25:Y26"/>
    <mergeCell ref="AH23:AH24"/>
    <mergeCell ref="D25:D26"/>
    <mergeCell ref="I25:I26"/>
    <mergeCell ref="J25:J26"/>
    <mergeCell ref="O25:O26"/>
    <mergeCell ref="P25:P26"/>
    <mergeCell ref="V25:V26"/>
    <mergeCell ref="Q25:Q26"/>
    <mergeCell ref="R25:R26"/>
    <mergeCell ref="S25:S26"/>
    <mergeCell ref="G21:G22"/>
    <mergeCell ref="H21:H22"/>
    <mergeCell ref="AB21:AB22"/>
    <mergeCell ref="AH21:AH22"/>
    <mergeCell ref="D23:D24"/>
    <mergeCell ref="I23:I24"/>
    <mergeCell ref="J23:J24"/>
    <mergeCell ref="O23:O24"/>
    <mergeCell ref="P23:P24"/>
    <mergeCell ref="V23:V24"/>
    <mergeCell ref="K21:K22"/>
    <mergeCell ref="L21:L22"/>
    <mergeCell ref="M21:M22"/>
    <mergeCell ref="N21:N22"/>
    <mergeCell ref="Q21:Q22"/>
    <mergeCell ref="R21:R22"/>
    <mergeCell ref="S21:S22"/>
    <mergeCell ref="T21:T22"/>
    <mergeCell ref="U21:U22"/>
    <mergeCell ref="W21:W22"/>
    <mergeCell ref="X21:X22"/>
    <mergeCell ref="Y21:Y22"/>
    <mergeCell ref="AH19:AH20"/>
    <mergeCell ref="L17:L18"/>
    <mergeCell ref="D21:D22"/>
    <mergeCell ref="I21:I22"/>
    <mergeCell ref="J21:J22"/>
    <mergeCell ref="O21:O22"/>
    <mergeCell ref="P21:P22"/>
    <mergeCell ref="V21:V22"/>
    <mergeCell ref="E21:E22"/>
    <mergeCell ref="F21:F22"/>
    <mergeCell ref="D19:D20"/>
    <mergeCell ref="I19:I20"/>
    <mergeCell ref="J19:J20"/>
    <mergeCell ref="O19:O20"/>
    <mergeCell ref="P19:P20"/>
    <mergeCell ref="V19:V20"/>
    <mergeCell ref="AB15:AB16"/>
    <mergeCell ref="AH15:AH16"/>
    <mergeCell ref="D17:D18"/>
    <mergeCell ref="I17:I18"/>
    <mergeCell ref="J17:J18"/>
    <mergeCell ref="O17:O18"/>
    <mergeCell ref="P17:P18"/>
    <mergeCell ref="V17:V18"/>
    <mergeCell ref="AB17:AB18"/>
    <mergeCell ref="AH17:AH18"/>
    <mergeCell ref="G15:G16"/>
    <mergeCell ref="H15:H16"/>
    <mergeCell ref="K15:K16"/>
    <mergeCell ref="L15:L16"/>
    <mergeCell ref="M15:M16"/>
    <mergeCell ref="N15:N16"/>
    <mergeCell ref="E11:J11"/>
    <mergeCell ref="K11:O11"/>
    <mergeCell ref="Q11:U11"/>
    <mergeCell ref="W11:AA11"/>
    <mergeCell ref="AC11:AG11"/>
    <mergeCell ref="D15:D16"/>
    <mergeCell ref="I15:I16"/>
    <mergeCell ref="J15:J16"/>
    <mergeCell ref="O15:O16"/>
    <mergeCell ref="P15:P16"/>
    <mergeCell ref="Y5:Y6"/>
    <mergeCell ref="E10:I10"/>
    <mergeCell ref="K10:P10"/>
    <mergeCell ref="Q10:V10"/>
    <mergeCell ref="W10:AA10"/>
    <mergeCell ref="AC10:AG10"/>
    <mergeCell ref="B228:C229"/>
    <mergeCell ref="C206:C207"/>
    <mergeCell ref="B190:C191"/>
    <mergeCell ref="C159:C160"/>
    <mergeCell ref="C141:C142"/>
    <mergeCell ref="C153:C154"/>
    <mergeCell ref="C169:C170"/>
    <mergeCell ref="C135:C136"/>
    <mergeCell ref="C175:C176"/>
    <mergeCell ref="C148:C149"/>
    <mergeCell ref="C133:C134"/>
    <mergeCell ref="C139:C140"/>
    <mergeCell ref="C167:C168"/>
    <mergeCell ref="C163:C164"/>
    <mergeCell ref="B21:B26"/>
    <mergeCell ref="C10:C12"/>
    <mergeCell ref="A125:A151"/>
    <mergeCell ref="B125:B130"/>
    <mergeCell ref="C131:C132"/>
    <mergeCell ref="C161:C162"/>
    <mergeCell ref="C165:C166"/>
    <mergeCell ref="C179:C180"/>
    <mergeCell ref="B131:B136"/>
    <mergeCell ref="B137:B142"/>
    <mergeCell ref="C137:C138"/>
    <mergeCell ref="B146:B151"/>
    <mergeCell ref="B108:C108"/>
    <mergeCell ref="B27:B32"/>
    <mergeCell ref="B202:B207"/>
    <mergeCell ref="C104:C105"/>
    <mergeCell ref="C102:C103"/>
    <mergeCell ref="C106:C107"/>
    <mergeCell ref="C112:C113"/>
    <mergeCell ref="B183:B188"/>
    <mergeCell ref="C181:C182"/>
    <mergeCell ref="C157:C158"/>
    <mergeCell ref="B102:B107"/>
    <mergeCell ref="A15:A38"/>
    <mergeCell ref="C40:C41"/>
    <mergeCell ref="B77:C77"/>
    <mergeCell ref="B65:C66"/>
    <mergeCell ref="C52:C53"/>
    <mergeCell ref="B52:B57"/>
    <mergeCell ref="C54:C55"/>
    <mergeCell ref="B61:C62"/>
    <mergeCell ref="C56:C57"/>
    <mergeCell ref="B63:C64"/>
    <mergeCell ref="B58:AH58"/>
    <mergeCell ref="A4:C4"/>
    <mergeCell ref="A7:C7"/>
    <mergeCell ref="C89:C90"/>
    <mergeCell ref="C91:C92"/>
    <mergeCell ref="C93:C94"/>
    <mergeCell ref="B10:B12"/>
    <mergeCell ref="C23:C24"/>
    <mergeCell ref="C17:C18"/>
    <mergeCell ref="C19:C20"/>
    <mergeCell ref="C21:C22"/>
    <mergeCell ref="C37:C38"/>
    <mergeCell ref="C27:C28"/>
    <mergeCell ref="C33:C34"/>
    <mergeCell ref="C35:C36"/>
    <mergeCell ref="C25:C26"/>
    <mergeCell ref="B15:B20"/>
    <mergeCell ref="C29:C30"/>
    <mergeCell ref="C31:C32"/>
    <mergeCell ref="B33:B38"/>
    <mergeCell ref="C50:C51"/>
    <mergeCell ref="B46:B51"/>
    <mergeCell ref="C46:C47"/>
    <mergeCell ref="C42:C43"/>
    <mergeCell ref="C48:C49"/>
    <mergeCell ref="C15:C16"/>
    <mergeCell ref="A74:A79"/>
    <mergeCell ref="B74:C75"/>
    <mergeCell ref="C44:C45"/>
    <mergeCell ref="A59:A72"/>
    <mergeCell ref="B59:C60"/>
    <mergeCell ref="A40:A57"/>
    <mergeCell ref="B40:B45"/>
    <mergeCell ref="AB56:AB57"/>
    <mergeCell ref="AH56:AH57"/>
    <mergeCell ref="D54:D55"/>
    <mergeCell ref="B71:C72"/>
    <mergeCell ref="B67:C68"/>
    <mergeCell ref="B76:C76"/>
    <mergeCell ref="B95:C95"/>
    <mergeCell ref="C120:C121"/>
    <mergeCell ref="B96:B101"/>
    <mergeCell ref="B78:C79"/>
    <mergeCell ref="C98:C99"/>
    <mergeCell ref="C100:C101"/>
    <mergeCell ref="B69:C70"/>
    <mergeCell ref="C125:C126"/>
    <mergeCell ref="C122:C123"/>
    <mergeCell ref="A196:A211"/>
    <mergeCell ref="C204:C205"/>
    <mergeCell ref="A109:A123"/>
    <mergeCell ref="B109:C109"/>
    <mergeCell ref="B110:C111"/>
    <mergeCell ref="C150:C151"/>
    <mergeCell ref="C146:C147"/>
    <mergeCell ref="A153:A188"/>
    <mergeCell ref="A82:A107"/>
    <mergeCell ref="B118:B123"/>
    <mergeCell ref="C118:C119"/>
    <mergeCell ref="B112:B117"/>
    <mergeCell ref="C185:C186"/>
    <mergeCell ref="C187:C188"/>
    <mergeCell ref="C183:C184"/>
    <mergeCell ref="C155:C156"/>
    <mergeCell ref="C171:C172"/>
    <mergeCell ref="C249:C250"/>
    <mergeCell ref="B230:C231"/>
    <mergeCell ref="A190:A193"/>
    <mergeCell ref="B196:C197"/>
    <mergeCell ref="A222:A223"/>
    <mergeCell ref="C222:C223"/>
    <mergeCell ref="A213:A218"/>
    <mergeCell ref="B213:C214"/>
    <mergeCell ref="B215:C216"/>
    <mergeCell ref="B249:B254"/>
    <mergeCell ref="A226:A235"/>
    <mergeCell ref="C253:C254"/>
    <mergeCell ref="B232:C233"/>
    <mergeCell ref="B234:C235"/>
    <mergeCell ref="B243:B248"/>
    <mergeCell ref="C251:C252"/>
    <mergeCell ref="A237:A254"/>
    <mergeCell ref="B237:B242"/>
    <mergeCell ref="C241:C242"/>
    <mergeCell ref="C202:C203"/>
    <mergeCell ref="B208:C209"/>
    <mergeCell ref="C243:C244"/>
    <mergeCell ref="C245:C246"/>
    <mergeCell ref="B222:B223"/>
    <mergeCell ref="C247:C248"/>
    <mergeCell ref="B192:C193"/>
    <mergeCell ref="B200:C201"/>
    <mergeCell ref="C239:C240"/>
    <mergeCell ref="B210:C211"/>
    <mergeCell ref="B226:C227"/>
    <mergeCell ref="B217:C218"/>
    <mergeCell ref="B236:C236"/>
    <mergeCell ref="B177:B182"/>
    <mergeCell ref="B159:B164"/>
    <mergeCell ref="B171:B176"/>
    <mergeCell ref="C173:C174"/>
    <mergeCell ref="C177:C178"/>
    <mergeCell ref="C83:C84"/>
    <mergeCell ref="B83:B88"/>
    <mergeCell ref="B89:B94"/>
    <mergeCell ref="C85:C86"/>
    <mergeCell ref="C87:C88"/>
    <mergeCell ref="B143:B145"/>
    <mergeCell ref="C127:C128"/>
    <mergeCell ref="C129:C130"/>
    <mergeCell ref="C116:C117"/>
    <mergeCell ref="C114:C115"/>
    <mergeCell ref="C96:C97"/>
    <mergeCell ref="B198:C199"/>
    <mergeCell ref="B153:B158"/>
    <mergeCell ref="B165:B170"/>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98:D99"/>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90:D191"/>
    <mergeCell ref="D247:D248"/>
    <mergeCell ref="D249:D250"/>
    <mergeCell ref="D196:D197"/>
    <mergeCell ref="D206:D207"/>
    <mergeCell ref="D210:D211"/>
    <mergeCell ref="D213:D214"/>
    <mergeCell ref="D251:D252"/>
    <mergeCell ref="D253:D254"/>
    <mergeCell ref="D192:D193"/>
    <mergeCell ref="D237:D238"/>
    <mergeCell ref="D239:D240"/>
    <mergeCell ref="D241:D242"/>
    <mergeCell ref="D243:D244"/>
    <mergeCell ref="D245:D246"/>
    <mergeCell ref="D215:D216"/>
    <mergeCell ref="B225:AH225"/>
    <mergeCell ref="A5:B5"/>
    <mergeCell ref="A6:B6"/>
    <mergeCell ref="D198:D199"/>
    <mergeCell ref="D208:D209"/>
    <mergeCell ref="A2:Q2"/>
    <mergeCell ref="A3:Q3"/>
    <mergeCell ref="B81:AH81"/>
    <mergeCell ref="B80:AH80"/>
    <mergeCell ref="B73:AH73"/>
    <mergeCell ref="D183:D184"/>
    <mergeCell ref="B39:AH39"/>
    <mergeCell ref="A8:X8"/>
    <mergeCell ref="B212:AH212"/>
    <mergeCell ref="B195:AH195"/>
    <mergeCell ref="B194:AH194"/>
    <mergeCell ref="B189:AH189"/>
    <mergeCell ref="B152:AH152"/>
    <mergeCell ref="B124:AH124"/>
    <mergeCell ref="D185:D186"/>
    <mergeCell ref="D187:D188"/>
    <mergeCell ref="E15:E16"/>
    <mergeCell ref="F15:F16"/>
    <mergeCell ref="Q15:Q16"/>
    <mergeCell ref="R15:R16"/>
    <mergeCell ref="S15:S16"/>
    <mergeCell ref="T15:T16"/>
    <mergeCell ref="U15:U16"/>
    <mergeCell ref="W15:W16"/>
    <mergeCell ref="X15:X16"/>
    <mergeCell ref="Y15:Y16"/>
    <mergeCell ref="Z15:Z16"/>
    <mergeCell ref="AA15:AA16"/>
    <mergeCell ref="V15:V16"/>
    <mergeCell ref="AC15:AC16"/>
    <mergeCell ref="AD15:AD16"/>
    <mergeCell ref="AE15:AE16"/>
    <mergeCell ref="AF15:AF16"/>
    <mergeCell ref="AG15:AG16"/>
    <mergeCell ref="E17:E18"/>
    <mergeCell ref="F17:F18"/>
    <mergeCell ref="G17:G18"/>
    <mergeCell ref="H17:H18"/>
    <mergeCell ref="K17:K18"/>
    <mergeCell ref="M17:M18"/>
    <mergeCell ref="N17:N18"/>
    <mergeCell ref="Q17:Q18"/>
    <mergeCell ref="R17:R18"/>
    <mergeCell ref="S17:S18"/>
    <mergeCell ref="T17:T18"/>
    <mergeCell ref="U17:U18"/>
    <mergeCell ref="W17:W18"/>
    <mergeCell ref="X17:X18"/>
    <mergeCell ref="Y17:Y18"/>
    <mergeCell ref="Z17:Z18"/>
    <mergeCell ref="AG23:AG24"/>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AB19:AB20"/>
    <mergeCell ref="AF27:AF28"/>
    <mergeCell ref="AG27:AG28"/>
    <mergeCell ref="Z21:Z22"/>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B23:AB24"/>
    <mergeCell ref="AF23:AF24"/>
    <mergeCell ref="AD31:AD32"/>
    <mergeCell ref="AE31:AE32"/>
    <mergeCell ref="AF31:AF32"/>
    <mergeCell ref="AG31:AG32"/>
    <mergeCell ref="Z25:Z26"/>
    <mergeCell ref="AA25:AA26"/>
    <mergeCell ref="AC25:AC26"/>
    <mergeCell ref="AD25:AD26"/>
    <mergeCell ref="AE25:AE26"/>
    <mergeCell ref="AF25:AF26"/>
    <mergeCell ref="AG25:AG26"/>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A33:AA34"/>
    <mergeCell ref="AC33:AC34"/>
    <mergeCell ref="AD33:AD34"/>
    <mergeCell ref="AB33:AB34"/>
    <mergeCell ref="AE33:AE34"/>
    <mergeCell ref="AF33:AF34"/>
    <mergeCell ref="Z29:Z30"/>
    <mergeCell ref="AA29:AA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G33:AG34"/>
    <mergeCell ref="E35:E36"/>
    <mergeCell ref="F35:F36"/>
    <mergeCell ref="G35:G36"/>
    <mergeCell ref="H35:H36"/>
    <mergeCell ref="K35:K36"/>
    <mergeCell ref="L35:L36"/>
    <mergeCell ref="M35:M36"/>
    <mergeCell ref="T35:T36"/>
    <mergeCell ref="U35:U36"/>
    <mergeCell ref="W35:W36"/>
    <mergeCell ref="X35:X36"/>
    <mergeCell ref="Y35:Y36"/>
    <mergeCell ref="Z35:Z36"/>
    <mergeCell ref="V35:V36"/>
    <mergeCell ref="AA35:AA36"/>
    <mergeCell ref="AC35:AC36"/>
    <mergeCell ref="AD35:AD36"/>
    <mergeCell ref="AE35:AE36"/>
    <mergeCell ref="AF35:AF36"/>
    <mergeCell ref="AG35:AG36"/>
    <mergeCell ref="E33:E34"/>
    <mergeCell ref="F33:F34"/>
    <mergeCell ref="G33:G34"/>
    <mergeCell ref="H33:H34"/>
    <mergeCell ref="K33:K34"/>
    <mergeCell ref="L33:L34"/>
    <mergeCell ref="M33:M34"/>
    <mergeCell ref="N33:N34"/>
    <mergeCell ref="X33:X34"/>
    <mergeCell ref="Y33:Y34"/>
    <mergeCell ref="Z33:Z34"/>
    <mergeCell ref="Z37:Z38"/>
    <mergeCell ref="V37:V38"/>
    <mergeCell ref="AA37:AA38"/>
    <mergeCell ref="AC37:AC38"/>
    <mergeCell ref="AD37:AD38"/>
    <mergeCell ref="AE37:AE38"/>
    <mergeCell ref="AF37:AF38"/>
    <mergeCell ref="AG37:AG38"/>
    <mergeCell ref="AB37:AB38"/>
    <mergeCell ref="E125:E126"/>
    <mergeCell ref="F125:F126"/>
    <mergeCell ref="G125:G126"/>
    <mergeCell ref="H125:H126"/>
    <mergeCell ref="I125:I126"/>
    <mergeCell ref="J125:J12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Y125:Y126"/>
    <mergeCell ref="E37:E38"/>
    <mergeCell ref="F37:F3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X37:X38"/>
    <mergeCell ref="Y37:Y38"/>
    <mergeCell ref="G37:G38"/>
    <mergeCell ref="H37:H38"/>
    <mergeCell ref="I37:I38"/>
    <mergeCell ref="K37:K38"/>
    <mergeCell ref="L37:L38"/>
    <mergeCell ref="M37:M38"/>
    <mergeCell ref="N37:N38"/>
    <mergeCell ref="Q37:Q38"/>
    <mergeCell ref="R37:R38"/>
    <mergeCell ref="S37:S38"/>
    <mergeCell ref="O37:O38"/>
    <mergeCell ref="P37:P38"/>
    <mergeCell ref="T37:T38"/>
    <mergeCell ref="U37:U38"/>
    <mergeCell ref="W37:W38"/>
    <mergeCell ref="AC127:AC128"/>
    <mergeCell ref="AD127:AD128"/>
    <mergeCell ref="AE127:AE128"/>
    <mergeCell ref="AF127:AF128"/>
    <mergeCell ref="AG127:AG128"/>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Y129:Y130"/>
    <mergeCell ref="Z129:Z130"/>
    <mergeCell ref="AA129:AA130"/>
    <mergeCell ref="AC129:AC130"/>
    <mergeCell ref="AD129:AD130"/>
    <mergeCell ref="AE129:AE130"/>
    <mergeCell ref="AF129:AF130"/>
    <mergeCell ref="AG129:AG130"/>
    <mergeCell ref="E127:E128"/>
    <mergeCell ref="F127:F128"/>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AC137:AC138"/>
    <mergeCell ref="AD137:AD138"/>
    <mergeCell ref="AE137:AE138"/>
    <mergeCell ref="AF137:AF138"/>
    <mergeCell ref="AG137:AG138"/>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37:E138"/>
    <mergeCell ref="F137:F138"/>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AD146:AD147"/>
    <mergeCell ref="AE146:AE147"/>
    <mergeCell ref="AF146:AF147"/>
    <mergeCell ref="AG146:AG147"/>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AG148:AG149"/>
    <mergeCell ref="E146:E147"/>
    <mergeCell ref="F146:F147"/>
    <mergeCell ref="G146:G147"/>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R40:R41"/>
    <mergeCell ref="S40:S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R46:R47"/>
    <mergeCell ref="S46:S47"/>
    <mergeCell ref="T46:T47"/>
    <mergeCell ref="W46:W47"/>
    <mergeCell ref="X46:X47"/>
    <mergeCell ref="Y46:Y47"/>
    <mergeCell ref="Z46:Z47"/>
    <mergeCell ref="AC46:AC47"/>
    <mergeCell ref="S42:S43"/>
    <mergeCell ref="T42:T43"/>
    <mergeCell ref="W42:W43"/>
    <mergeCell ref="X42:X43"/>
    <mergeCell ref="Y42:Y43"/>
    <mergeCell ref="Z42:Z43"/>
    <mergeCell ref="AC42:AC43"/>
    <mergeCell ref="AD42:AD43"/>
    <mergeCell ref="AE42:AE43"/>
    <mergeCell ref="AB42:AB43"/>
    <mergeCell ref="AD46:AD47"/>
    <mergeCell ref="AE46:AE47"/>
    <mergeCell ref="AF46:AF47"/>
    <mergeCell ref="E48:E49"/>
    <mergeCell ref="F48:F49"/>
    <mergeCell ref="G48:G49"/>
    <mergeCell ref="H48:H49"/>
    <mergeCell ref="K48:K49"/>
    <mergeCell ref="L48:L49"/>
    <mergeCell ref="M48:M49"/>
    <mergeCell ref="N48:N49"/>
    <mergeCell ref="Q48:Q49"/>
    <mergeCell ref="R48:R49"/>
    <mergeCell ref="S48:S49"/>
    <mergeCell ref="T48:T49"/>
    <mergeCell ref="W48:W49"/>
    <mergeCell ref="X48:X49"/>
    <mergeCell ref="Y48:Y49"/>
    <mergeCell ref="Z48:Z49"/>
    <mergeCell ref="AC48:AC49"/>
    <mergeCell ref="AD48:AD49"/>
    <mergeCell ref="AE48:AE49"/>
    <mergeCell ref="AF48:AF49"/>
    <mergeCell ref="E46:E47"/>
    <mergeCell ref="F46:F47"/>
    <mergeCell ref="G46:G47"/>
    <mergeCell ref="H46:H47"/>
    <mergeCell ref="K46:K47"/>
    <mergeCell ref="L46:L47"/>
    <mergeCell ref="M46:M47"/>
    <mergeCell ref="N46:N47"/>
    <mergeCell ref="Q46:Q47"/>
    <mergeCell ref="AD50:AD51"/>
    <mergeCell ref="AE50:AE51"/>
    <mergeCell ref="AF50:AF51"/>
    <mergeCell ref="E52:E53"/>
    <mergeCell ref="F52:F53"/>
    <mergeCell ref="G52:G53"/>
    <mergeCell ref="H52:H53"/>
    <mergeCell ref="K52:K53"/>
    <mergeCell ref="L52:L53"/>
    <mergeCell ref="S52:S53"/>
    <mergeCell ref="T52:T53"/>
    <mergeCell ref="W52:W53"/>
    <mergeCell ref="X52:X53"/>
    <mergeCell ref="Y52:Y53"/>
    <mergeCell ref="Z52:Z53"/>
    <mergeCell ref="AC52:AC53"/>
    <mergeCell ref="AD52:AD53"/>
    <mergeCell ref="AE52:AE53"/>
    <mergeCell ref="AF52:AF53"/>
    <mergeCell ref="V50:V51"/>
    <mergeCell ref="AB50:AB51"/>
    <mergeCell ref="R50:R51"/>
    <mergeCell ref="S50:S51"/>
    <mergeCell ref="T50:T51"/>
    <mergeCell ref="W50:W51"/>
    <mergeCell ref="G54:G55"/>
    <mergeCell ref="H54:H55"/>
    <mergeCell ref="K54:K55"/>
    <mergeCell ref="L54:L55"/>
    <mergeCell ref="M54:M55"/>
    <mergeCell ref="N54:N55"/>
    <mergeCell ref="Q54:Q55"/>
    <mergeCell ref="R54:R55"/>
    <mergeCell ref="S54:S55"/>
    <mergeCell ref="T54:T55"/>
    <mergeCell ref="W54:W55"/>
    <mergeCell ref="X54:X55"/>
    <mergeCell ref="Y54:Y55"/>
    <mergeCell ref="Z54:Z55"/>
    <mergeCell ref="AC54:AC55"/>
    <mergeCell ref="E50:E51"/>
    <mergeCell ref="F50:F51"/>
    <mergeCell ref="G50:G51"/>
    <mergeCell ref="H50:H51"/>
    <mergeCell ref="K50:K51"/>
    <mergeCell ref="L50:L51"/>
    <mergeCell ref="M50:M51"/>
    <mergeCell ref="N50:N51"/>
    <mergeCell ref="Q50:Q51"/>
    <mergeCell ref="AC50:AC51"/>
    <mergeCell ref="X59:X60"/>
    <mergeCell ref="Y59:Y60"/>
    <mergeCell ref="Z59:Z60"/>
    <mergeCell ref="AC59:AC60"/>
    <mergeCell ref="AD59:AD60"/>
    <mergeCell ref="AE59:AE60"/>
    <mergeCell ref="AD54:AD55"/>
    <mergeCell ref="AB54:AB55"/>
    <mergeCell ref="AE54:AE55"/>
    <mergeCell ref="AF54:AF55"/>
    <mergeCell ref="E56:E57"/>
    <mergeCell ref="F56:F57"/>
    <mergeCell ref="G56:G57"/>
    <mergeCell ref="H56:H57"/>
    <mergeCell ref="K56:K57"/>
    <mergeCell ref="L56:L57"/>
    <mergeCell ref="M56:M57"/>
    <mergeCell ref="N56:N57"/>
    <mergeCell ref="Q56:Q57"/>
    <mergeCell ref="R56:R57"/>
    <mergeCell ref="S56:S57"/>
    <mergeCell ref="T56:T57"/>
    <mergeCell ref="W56:W57"/>
    <mergeCell ref="X56:X57"/>
    <mergeCell ref="Y56:Y57"/>
    <mergeCell ref="Z56:Z57"/>
    <mergeCell ref="AC56:AC57"/>
    <mergeCell ref="AD56:AD57"/>
    <mergeCell ref="AE56:AE57"/>
    <mergeCell ref="AF56:AF57"/>
    <mergeCell ref="E54:E55"/>
    <mergeCell ref="F54:F55"/>
    <mergeCell ref="AF59:AF60"/>
    <mergeCell ref="E61:E62"/>
    <mergeCell ref="F61:F62"/>
    <mergeCell ref="G61:G62"/>
    <mergeCell ref="H61:H62"/>
    <mergeCell ref="K61:K62"/>
    <mergeCell ref="L61:L62"/>
    <mergeCell ref="M61:M62"/>
    <mergeCell ref="N61:N62"/>
    <mergeCell ref="Q61:Q62"/>
    <mergeCell ref="R61:R62"/>
    <mergeCell ref="S61:S62"/>
    <mergeCell ref="T61:T62"/>
    <mergeCell ref="W61:W62"/>
    <mergeCell ref="X61:X62"/>
    <mergeCell ref="Y61:Y62"/>
    <mergeCell ref="Z61:Z62"/>
    <mergeCell ref="AC61:AC62"/>
    <mergeCell ref="AD61:AD62"/>
    <mergeCell ref="AE61:AE62"/>
    <mergeCell ref="AF61:AF62"/>
    <mergeCell ref="K59:K60"/>
    <mergeCell ref="L59:L60"/>
    <mergeCell ref="J59:J60"/>
    <mergeCell ref="M59:M60"/>
    <mergeCell ref="N59:N60"/>
    <mergeCell ref="Q59:Q60"/>
    <mergeCell ref="R59:R60"/>
    <mergeCell ref="S59:S60"/>
    <mergeCell ref="T59:T60"/>
    <mergeCell ref="P59:P60"/>
    <mergeCell ref="W59:W60"/>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S65:S66"/>
    <mergeCell ref="T65:T66"/>
    <mergeCell ref="W65:W66"/>
    <mergeCell ref="X65:X66"/>
    <mergeCell ref="Y65:Y66"/>
    <mergeCell ref="Z65:Z66"/>
    <mergeCell ref="V65:V66"/>
    <mergeCell ref="AC65:AC66"/>
    <mergeCell ref="AD65:AD66"/>
    <mergeCell ref="AE65:AE66"/>
    <mergeCell ref="AF65:AF66"/>
    <mergeCell ref="E67:E68"/>
    <mergeCell ref="F67:F68"/>
    <mergeCell ref="G67:G68"/>
    <mergeCell ref="H67:H68"/>
    <mergeCell ref="K67:K68"/>
    <mergeCell ref="L67:L68"/>
    <mergeCell ref="S67:S68"/>
    <mergeCell ref="T67:T68"/>
    <mergeCell ref="W67:W68"/>
    <mergeCell ref="X67:X68"/>
    <mergeCell ref="Y67:Y68"/>
    <mergeCell ref="Z67:Z68"/>
    <mergeCell ref="AC67:AC68"/>
    <mergeCell ref="AD67:AD68"/>
    <mergeCell ref="AE67:AE68"/>
    <mergeCell ref="AF67:AF68"/>
    <mergeCell ref="AB65:AB66"/>
    <mergeCell ref="AC69:AC70"/>
    <mergeCell ref="AD69:AD70"/>
    <mergeCell ref="AE69:AE70"/>
    <mergeCell ref="AF69:AF70"/>
    <mergeCell ref="E71:E72"/>
    <mergeCell ref="F71:F72"/>
    <mergeCell ref="G71:G72"/>
    <mergeCell ref="H71:H72"/>
    <mergeCell ref="K71:K72"/>
    <mergeCell ref="L71:L72"/>
    <mergeCell ref="S71:S72"/>
    <mergeCell ref="T71:T72"/>
    <mergeCell ref="W71:W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J85:J86"/>
    <mergeCell ref="M85:M86"/>
    <mergeCell ref="N85:N86"/>
    <mergeCell ref="Q85:Q86"/>
    <mergeCell ref="R85:R86"/>
    <mergeCell ref="S85:S86"/>
    <mergeCell ref="T85:T86"/>
    <mergeCell ref="P85:P86"/>
    <mergeCell ref="W85:W86"/>
    <mergeCell ref="X85:X86"/>
    <mergeCell ref="Y85:Y86"/>
    <mergeCell ref="V85:V86"/>
    <mergeCell ref="AE91:AE92"/>
    <mergeCell ref="AF91:AF92"/>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R93:R94"/>
    <mergeCell ref="S93:S94"/>
    <mergeCell ref="T93:T94"/>
    <mergeCell ref="P93:P94"/>
    <mergeCell ref="W93:W94"/>
    <mergeCell ref="X93:X94"/>
    <mergeCell ref="Y93:Y94"/>
    <mergeCell ref="X89:X90"/>
    <mergeCell ref="Y89:Y90"/>
    <mergeCell ref="Z89:Z90"/>
    <mergeCell ref="AC89:AC90"/>
    <mergeCell ref="AD89:AD90"/>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D91:AD92"/>
    <mergeCell ref="Z93:Z94"/>
    <mergeCell ref="AC93:AC94"/>
    <mergeCell ref="AD93:AD94"/>
    <mergeCell ref="AE93:AE94"/>
    <mergeCell ref="AF93:AF94"/>
    <mergeCell ref="E96:E97"/>
    <mergeCell ref="F96:F97"/>
    <mergeCell ref="G96:G97"/>
    <mergeCell ref="H96:H97"/>
    <mergeCell ref="K96:K97"/>
    <mergeCell ref="L96:L97"/>
    <mergeCell ref="M96:M97"/>
    <mergeCell ref="N96:N97"/>
    <mergeCell ref="T96:T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J93:J94"/>
    <mergeCell ref="M93:M94"/>
    <mergeCell ref="N93:N94"/>
    <mergeCell ref="Q93:Q94"/>
    <mergeCell ref="E98:E99"/>
    <mergeCell ref="F98:F99"/>
    <mergeCell ref="G98:G99"/>
    <mergeCell ref="H98:H99"/>
    <mergeCell ref="K98:K99"/>
    <mergeCell ref="L98:L99"/>
    <mergeCell ref="M98:M99"/>
    <mergeCell ref="N98:N99"/>
    <mergeCell ref="Q98:Q99"/>
    <mergeCell ref="R98:R99"/>
    <mergeCell ref="S98:S99"/>
    <mergeCell ref="T98:T99"/>
    <mergeCell ref="W98:W99"/>
    <mergeCell ref="X98:X99"/>
    <mergeCell ref="Y98:Y99"/>
    <mergeCell ref="Z98:Z99"/>
    <mergeCell ref="AC98:AC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J100:J101"/>
    <mergeCell ref="P100:P101"/>
    <mergeCell ref="V100:V101"/>
    <mergeCell ref="AB100:AB101"/>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P110:P111"/>
    <mergeCell ref="V110:V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P118:P119"/>
    <mergeCell ref="V118:V119"/>
    <mergeCell ref="AB118:AB119"/>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F122:F123"/>
    <mergeCell ref="G122:G123"/>
    <mergeCell ref="H122:H123"/>
    <mergeCell ref="K122:K123"/>
    <mergeCell ref="L122:L123"/>
    <mergeCell ref="M122:M123"/>
    <mergeCell ref="N122:N123"/>
    <mergeCell ref="Q122:Q123"/>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J157:J158"/>
    <mergeCell ref="P157:P158"/>
    <mergeCell ref="V157:V158"/>
    <mergeCell ref="AB157:AB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J165:J166"/>
    <mergeCell ref="P165:P166"/>
    <mergeCell ref="V165:V166"/>
    <mergeCell ref="AB165:AB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J173:J174"/>
    <mergeCell ref="P173:P174"/>
    <mergeCell ref="V173:V174"/>
    <mergeCell ref="AB173:AB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J181:J182"/>
    <mergeCell ref="P181:P182"/>
    <mergeCell ref="V181:V182"/>
    <mergeCell ref="AB181:AB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J190:J191"/>
    <mergeCell ref="P190:P191"/>
    <mergeCell ref="V190:V191"/>
    <mergeCell ref="AB190:AB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AC239:AC240"/>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N245:N246"/>
    <mergeCell ref="Q245:Q246"/>
    <mergeCell ref="R245:R246"/>
    <mergeCell ref="S245:S246"/>
    <mergeCell ref="T245:T246"/>
    <mergeCell ref="W245:W246"/>
    <mergeCell ref="X245:X246"/>
    <mergeCell ref="Y245:Y246"/>
    <mergeCell ref="Z245:Z246"/>
    <mergeCell ref="AC245:AC246"/>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N249:N250"/>
    <mergeCell ref="Q249:Q250"/>
    <mergeCell ref="R249:R250"/>
    <mergeCell ref="S249:S250"/>
    <mergeCell ref="T249:T250"/>
    <mergeCell ref="W249:W250"/>
    <mergeCell ref="X249:X250"/>
    <mergeCell ref="Y249:Y250"/>
    <mergeCell ref="Z249:Z250"/>
    <mergeCell ref="AC249:AC250"/>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N253:N254"/>
    <mergeCell ref="Q253:Q254"/>
    <mergeCell ref="R253:R254"/>
    <mergeCell ref="S253:S254"/>
    <mergeCell ref="T253:T254"/>
    <mergeCell ref="W253:W254"/>
    <mergeCell ref="X253:X254"/>
    <mergeCell ref="Y253:Y254"/>
    <mergeCell ref="Z253:Z254"/>
    <mergeCell ref="AC253:AC254"/>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G206:G207"/>
    <mergeCell ref="H206:H207"/>
    <mergeCell ref="E208:E209"/>
    <mergeCell ref="F208:F209"/>
    <mergeCell ref="G208:G209"/>
    <mergeCell ref="H208:H209"/>
    <mergeCell ref="E210:E211"/>
    <mergeCell ref="F210:F211"/>
    <mergeCell ref="G210:G211"/>
    <mergeCell ref="H210:H211"/>
    <mergeCell ref="E253:E254"/>
    <mergeCell ref="F253:F254"/>
    <mergeCell ref="G253:G254"/>
    <mergeCell ref="H253:H254"/>
    <mergeCell ref="K253:K254"/>
    <mergeCell ref="L253:L254"/>
    <mergeCell ref="M253:M254"/>
    <mergeCell ref="E249:E250"/>
    <mergeCell ref="F249:F250"/>
    <mergeCell ref="G249:G250"/>
    <mergeCell ref="H249:H250"/>
    <mergeCell ref="K249:K250"/>
    <mergeCell ref="L249:L250"/>
    <mergeCell ref="M249:M250"/>
    <mergeCell ref="E245:E246"/>
    <mergeCell ref="F245:F246"/>
    <mergeCell ref="G245:G246"/>
    <mergeCell ref="H245:H246"/>
    <mergeCell ref="K245:K246"/>
    <mergeCell ref="L245:L246"/>
    <mergeCell ref="M245:M246"/>
    <mergeCell ref="E241:E242"/>
    <mergeCell ref="S202:S203"/>
    <mergeCell ref="T202:T203"/>
    <mergeCell ref="Q204:Q205"/>
    <mergeCell ref="R204:R205"/>
    <mergeCell ref="S204:S205"/>
    <mergeCell ref="T204:T205"/>
    <mergeCell ref="Q206:Q207"/>
    <mergeCell ref="R206:R207"/>
    <mergeCell ref="S206:S207"/>
    <mergeCell ref="T206:T207"/>
    <mergeCell ref="AD253:AD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H202:H203"/>
    <mergeCell ref="E204:E205"/>
    <mergeCell ref="F204:F205"/>
    <mergeCell ref="G204:G205"/>
    <mergeCell ref="H204:H205"/>
    <mergeCell ref="E206:E207"/>
    <mergeCell ref="F206:F207"/>
    <mergeCell ref="W198:W199"/>
    <mergeCell ref="W200:W201"/>
    <mergeCell ref="W202:W203"/>
    <mergeCell ref="W204:W205"/>
    <mergeCell ref="W206:W207"/>
    <mergeCell ref="W208:W209"/>
    <mergeCell ref="AC196:AC197"/>
    <mergeCell ref="AD196:AD197"/>
    <mergeCell ref="AC206:AC207"/>
    <mergeCell ref="AD206:AD207"/>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N213:N214"/>
    <mergeCell ref="K215:K216"/>
    <mergeCell ref="L215:L216"/>
    <mergeCell ref="M215:M216"/>
    <mergeCell ref="N215:N216"/>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Q208:Q209"/>
    <mergeCell ref="R208:R209"/>
    <mergeCell ref="S208:S209"/>
    <mergeCell ref="T208:T209"/>
    <mergeCell ref="Q210:Q211"/>
    <mergeCell ref="R210:R211"/>
    <mergeCell ref="S210:S211"/>
    <mergeCell ref="T210:T211"/>
    <mergeCell ref="W196:W197"/>
    <mergeCell ref="G213:G214"/>
    <mergeCell ref="H213:H214"/>
    <mergeCell ref="E215:E216"/>
    <mergeCell ref="F215:F216"/>
    <mergeCell ref="G215:G216"/>
    <mergeCell ref="H215:H216"/>
    <mergeCell ref="E217:E218"/>
    <mergeCell ref="F217:F218"/>
    <mergeCell ref="G217:G218"/>
    <mergeCell ref="H217:H218"/>
    <mergeCell ref="K213:K214"/>
    <mergeCell ref="L213:L214"/>
    <mergeCell ref="K217:K218"/>
    <mergeCell ref="L217:L218"/>
    <mergeCell ref="E213:E214"/>
    <mergeCell ref="F213:F214"/>
    <mergeCell ref="M213:M214"/>
    <mergeCell ref="J217:J218"/>
    <mergeCell ref="Q217:Q218"/>
    <mergeCell ref="R217:R218"/>
    <mergeCell ref="S217:S218"/>
    <mergeCell ref="T217:T218"/>
    <mergeCell ref="W213:W214"/>
    <mergeCell ref="X213:X214"/>
    <mergeCell ref="W217:W218"/>
    <mergeCell ref="X217:X218"/>
    <mergeCell ref="Y213:Y214"/>
    <mergeCell ref="Z213:Z214"/>
    <mergeCell ref="W215:W216"/>
    <mergeCell ref="X215:X216"/>
    <mergeCell ref="Y215:Y216"/>
    <mergeCell ref="Z215:Z216"/>
    <mergeCell ref="AE206:AE207"/>
    <mergeCell ref="AF206:AF207"/>
    <mergeCell ref="AC208:AC209"/>
    <mergeCell ref="AD208:AD209"/>
    <mergeCell ref="AE208:AE209"/>
    <mergeCell ref="AF208:AF209"/>
    <mergeCell ref="AC210:AC211"/>
    <mergeCell ref="AD210:AD211"/>
    <mergeCell ref="AE210:AE211"/>
    <mergeCell ref="AF210:AF211"/>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Y217:Y218"/>
    <mergeCell ref="Z217:Z218"/>
    <mergeCell ref="R215:R216"/>
    <mergeCell ref="S215:S216"/>
    <mergeCell ref="T215:T216"/>
  </mergeCells>
  <pageMargins left="0.47" right="0.5" top="0.45" bottom="0.52" header="0.3" footer="0.3"/>
  <pageSetup paperSize="9" scale="85"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048E-84EA-44CC-80A9-A2F365FAC36F}">
  <sheetPr>
    <pageSetUpPr fitToPage="1"/>
  </sheetPr>
  <dimension ref="A1:AH256"/>
  <sheetViews>
    <sheetView zoomScaleNormal="100" workbookViewId="0">
      <pane ySplit="12" topLeftCell="A234" activePane="bottomLeft" state="frozen"/>
      <selection activeCell="B67" sqref="B67:C68"/>
      <selection pane="bottomLeft" activeCell="AC235" sqref="AC235:AF235"/>
    </sheetView>
  </sheetViews>
  <sheetFormatPr defaultColWidth="9.109375" defaultRowHeight="10.199999999999999" x14ac:dyDescent="0.2"/>
  <cols>
    <col min="1" max="1" width="6" style="11" customWidth="1"/>
    <col min="2" max="2" width="35.77734375" style="31" customWidth="1"/>
    <col min="3" max="3" width="5.77734375" style="31" customWidth="1"/>
    <col min="4" max="4" width="5.77734375" style="11" customWidth="1"/>
    <col min="5" max="34" width="4.77734375" style="11" customWidth="1"/>
    <col min="35" max="16384" width="9.109375" style="11"/>
  </cols>
  <sheetData>
    <row r="1" spans="1:34" x14ac:dyDescent="0.2">
      <c r="A1" s="9"/>
      <c r="B1" s="10"/>
      <c r="C1" s="10"/>
      <c r="D1" s="9"/>
    </row>
    <row r="2" spans="1:34" x14ac:dyDescent="0.2">
      <c r="A2" s="297" t="s">
        <v>51</v>
      </c>
      <c r="B2" s="297"/>
      <c r="C2" s="297"/>
      <c r="D2" s="326"/>
      <c r="E2" s="326"/>
      <c r="F2" s="326"/>
      <c r="G2" s="326"/>
      <c r="H2" s="326"/>
      <c r="I2" s="326"/>
      <c r="J2" s="326"/>
      <c r="K2" s="326"/>
      <c r="L2" s="326"/>
      <c r="M2" s="326"/>
      <c r="N2" s="326"/>
      <c r="O2" s="326"/>
    </row>
    <row r="3" spans="1:34" x14ac:dyDescent="0.2">
      <c r="A3" s="297" t="s">
        <v>50</v>
      </c>
      <c r="B3" s="297"/>
      <c r="C3" s="297"/>
      <c r="D3" s="326"/>
      <c r="E3" s="326"/>
      <c r="F3" s="326"/>
      <c r="G3" s="326"/>
      <c r="H3" s="326"/>
      <c r="I3" s="326"/>
      <c r="J3" s="326"/>
      <c r="K3" s="326"/>
      <c r="L3" s="326"/>
      <c r="M3" s="326"/>
      <c r="N3" s="326"/>
    </row>
    <row r="4" spans="1:34" x14ac:dyDescent="0.2">
      <c r="A4" s="297" t="s">
        <v>65</v>
      </c>
      <c r="B4" s="297"/>
      <c r="C4" s="297"/>
      <c r="D4" s="12"/>
    </row>
    <row r="5" spans="1:34" x14ac:dyDescent="0.2">
      <c r="A5" s="271" t="s">
        <v>148</v>
      </c>
      <c r="B5" s="269"/>
      <c r="C5" s="13"/>
      <c r="D5" s="14"/>
      <c r="Q5" s="11" t="s">
        <v>74</v>
      </c>
      <c r="R5" s="15"/>
      <c r="W5" s="11" t="s">
        <v>74</v>
      </c>
      <c r="Y5" s="278"/>
      <c r="AC5" s="11" t="s">
        <v>74</v>
      </c>
    </row>
    <row r="6" spans="1:34" x14ac:dyDescent="0.2">
      <c r="A6" s="271" t="s">
        <v>154</v>
      </c>
      <c r="B6" s="269"/>
      <c r="C6" s="10"/>
      <c r="D6" s="9"/>
      <c r="I6" s="16"/>
      <c r="J6" s="16"/>
      <c r="O6" s="16"/>
      <c r="U6" s="16"/>
      <c r="V6" s="16"/>
      <c r="Y6" s="278"/>
      <c r="AA6" s="16"/>
      <c r="AB6" s="16"/>
      <c r="AG6" s="16"/>
      <c r="AH6" s="16"/>
    </row>
    <row r="7" spans="1:34" x14ac:dyDescent="0.2">
      <c r="A7" s="268"/>
      <c r="B7" s="268"/>
      <c r="C7" s="268"/>
    </row>
    <row r="8" spans="1:34" x14ac:dyDescent="0.2">
      <c r="A8" s="268" t="s">
        <v>167</v>
      </c>
      <c r="B8" s="268"/>
      <c r="C8" s="268"/>
      <c r="D8" s="326"/>
      <c r="E8" s="326"/>
      <c r="F8" s="326"/>
      <c r="G8" s="326"/>
      <c r="H8" s="326"/>
      <c r="I8" s="326"/>
      <c r="J8" s="326"/>
      <c r="K8" s="326"/>
      <c r="L8" s="326"/>
      <c r="M8" s="326"/>
      <c r="N8" s="326"/>
      <c r="O8" s="326"/>
      <c r="P8" s="326"/>
      <c r="Q8" s="326"/>
      <c r="R8" s="326"/>
    </row>
    <row r="9" spans="1:34" x14ac:dyDescent="0.2">
      <c r="A9" s="9"/>
      <c r="B9" s="10"/>
      <c r="C9" s="10"/>
      <c r="D9" s="9"/>
    </row>
    <row r="10" spans="1:34" x14ac:dyDescent="0.2">
      <c r="A10" s="17"/>
      <c r="B10" s="293" t="s">
        <v>38</v>
      </c>
      <c r="C10" s="292"/>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2"/>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2"/>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18">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9" t="s">
        <v>105</v>
      </c>
      <c r="C14" s="209"/>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91"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91"/>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91"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91"/>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91"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91"/>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91"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91"/>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91"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91"/>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91"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91"/>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91"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91"/>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91"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91"/>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91"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91"/>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91"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91"/>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91"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91"/>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204"/>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x14ac:dyDescent="0.2">
      <c r="A40" s="289"/>
      <c r="B40" s="284" t="s">
        <v>39</v>
      </c>
      <c r="C40" s="291"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91"/>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91"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91"/>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91"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91"/>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91"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91"/>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91"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91"/>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91"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91"/>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91"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91"/>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91"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91"/>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91"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91"/>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204"/>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4" t="s">
        <v>135</v>
      </c>
      <c r="E82" s="35">
        <v>13</v>
      </c>
      <c r="F82" s="35">
        <v>13</v>
      </c>
      <c r="G82" s="35">
        <v>13</v>
      </c>
      <c r="H82" s="35">
        <v>16</v>
      </c>
      <c r="I82" s="35"/>
      <c r="J82" s="35">
        <v>55</v>
      </c>
      <c r="K82" s="162">
        <v>13</v>
      </c>
      <c r="L82" s="162">
        <v>13</v>
      </c>
      <c r="M82" s="162">
        <v>13</v>
      </c>
      <c r="N82" s="162">
        <v>16</v>
      </c>
      <c r="O82" s="162"/>
      <c r="P82" s="35">
        <v>55</v>
      </c>
      <c r="Q82" s="162">
        <v>13</v>
      </c>
      <c r="R82" s="162">
        <v>13</v>
      </c>
      <c r="S82" s="162">
        <v>13</v>
      </c>
      <c r="T82" s="162">
        <v>16</v>
      </c>
      <c r="U82" s="35"/>
      <c r="V82" s="35">
        <v>55</v>
      </c>
      <c r="W82" s="162">
        <v>13</v>
      </c>
      <c r="X82" s="162">
        <v>13</v>
      </c>
      <c r="Y82" s="162">
        <v>13</v>
      </c>
      <c r="Z82" s="162">
        <v>16</v>
      </c>
      <c r="AA82" s="162"/>
      <c r="AB82" s="35">
        <v>55</v>
      </c>
      <c r="AC82" s="162">
        <v>13</v>
      </c>
      <c r="AD82" s="162">
        <v>13</v>
      </c>
      <c r="AE82" s="162">
        <v>13</v>
      </c>
      <c r="AF82" s="162">
        <v>16</v>
      </c>
      <c r="AG82" s="35"/>
      <c r="AH82" s="35">
        <v>55</v>
      </c>
    </row>
    <row r="83" spans="1:34" ht="15.75" customHeight="1" x14ac:dyDescent="0.2">
      <c r="A83" s="289"/>
      <c r="B83" s="291" t="s">
        <v>84</v>
      </c>
      <c r="C83" s="291"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91"/>
      <c r="C84" s="291"/>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91"/>
      <c r="C85" s="291"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91"/>
      <c r="C86" s="291"/>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91"/>
      <c r="C87" s="291"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91"/>
      <c r="C88" s="291"/>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91" t="s">
        <v>96</v>
      </c>
      <c r="C89" s="291"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91"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91"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21</v>
      </c>
      <c r="F95" s="162">
        <v>21</v>
      </c>
      <c r="G95" s="162">
        <v>21</v>
      </c>
      <c r="H95" s="162">
        <v>22</v>
      </c>
      <c r="I95" s="35"/>
      <c r="J95" s="35">
        <v>85</v>
      </c>
      <c r="K95" s="35">
        <v>21</v>
      </c>
      <c r="L95" s="35">
        <v>21</v>
      </c>
      <c r="M95" s="35">
        <v>21</v>
      </c>
      <c r="N95" s="35">
        <v>22</v>
      </c>
      <c r="O95" s="35"/>
      <c r="P95" s="35">
        <v>85</v>
      </c>
      <c r="Q95" s="162">
        <v>21</v>
      </c>
      <c r="R95" s="162">
        <v>21</v>
      </c>
      <c r="S95" s="162">
        <v>21</v>
      </c>
      <c r="T95" s="162">
        <v>22</v>
      </c>
      <c r="U95" s="35"/>
      <c r="V95" s="35">
        <v>85</v>
      </c>
      <c r="W95" s="162">
        <v>21</v>
      </c>
      <c r="X95" s="162">
        <v>21</v>
      </c>
      <c r="Y95" s="162">
        <v>21</v>
      </c>
      <c r="Z95" s="162">
        <v>22</v>
      </c>
      <c r="AA95" s="162"/>
      <c r="AB95" s="35">
        <v>85</v>
      </c>
      <c r="AC95" s="162">
        <v>21</v>
      </c>
      <c r="AD95" s="162">
        <v>21</v>
      </c>
      <c r="AE95" s="162">
        <v>21</v>
      </c>
      <c r="AF95" s="162">
        <v>22</v>
      </c>
      <c r="AG95" s="35"/>
      <c r="AH95" s="35">
        <v>85</v>
      </c>
    </row>
    <row r="96" spans="1:34" ht="15.75" customHeight="1" x14ac:dyDescent="0.2">
      <c r="A96" s="289"/>
      <c r="B96" s="291" t="s">
        <v>85</v>
      </c>
      <c r="C96" s="299"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91"/>
      <c r="C97" s="299"/>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91"/>
      <c r="C98" s="299"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91"/>
      <c r="C99" s="299"/>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91"/>
      <c r="C100" s="299"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91"/>
      <c r="C101" s="299"/>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91" t="s">
        <v>98</v>
      </c>
      <c r="C102" s="299"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86"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86"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09"/>
      <c r="B109" s="298" t="s">
        <v>23</v>
      </c>
      <c r="C109" s="298"/>
      <c r="D109" s="24" t="s">
        <v>135</v>
      </c>
      <c r="E109" s="23">
        <v>5</v>
      </c>
      <c r="F109" s="23">
        <v>5</v>
      </c>
      <c r="G109" s="23">
        <v>5</v>
      </c>
      <c r="H109" s="23">
        <v>5</v>
      </c>
      <c r="I109" s="26"/>
      <c r="J109" s="41">
        <v>20</v>
      </c>
      <c r="K109" s="23">
        <v>5</v>
      </c>
      <c r="L109" s="23">
        <v>5</v>
      </c>
      <c r="M109" s="23">
        <v>5</v>
      </c>
      <c r="N109" s="23">
        <v>5</v>
      </c>
      <c r="O109" s="26"/>
      <c r="P109" s="41">
        <v>20</v>
      </c>
      <c r="Q109" s="23">
        <v>5</v>
      </c>
      <c r="R109" s="23">
        <v>5</v>
      </c>
      <c r="S109" s="23">
        <v>5</v>
      </c>
      <c r="T109" s="23">
        <v>5</v>
      </c>
      <c r="U109" s="26"/>
      <c r="V109" s="41">
        <v>20</v>
      </c>
      <c r="W109" s="23">
        <v>25</v>
      </c>
      <c r="X109" s="23">
        <v>25</v>
      </c>
      <c r="Y109" s="23">
        <v>25</v>
      </c>
      <c r="Z109" s="23">
        <v>25</v>
      </c>
      <c r="AA109" s="26"/>
      <c r="AB109" s="41">
        <v>100</v>
      </c>
      <c r="AC109" s="23">
        <v>5</v>
      </c>
      <c r="AD109" s="23">
        <v>5</v>
      </c>
      <c r="AE109" s="23">
        <v>5</v>
      </c>
      <c r="AF109" s="23">
        <v>5</v>
      </c>
      <c r="AG109" s="26"/>
      <c r="AH109" s="41">
        <v>20</v>
      </c>
    </row>
    <row r="110" spans="1:34" x14ac:dyDescent="0.2">
      <c r="A110" s="509"/>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09"/>
      <c r="B112" s="291" t="s">
        <v>136</v>
      </c>
      <c r="C112" s="291"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09"/>
      <c r="B113" s="291"/>
      <c r="C113" s="291"/>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09"/>
      <c r="B114" s="291"/>
      <c r="C114" s="291"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09"/>
      <c r="B115" s="291"/>
      <c r="C115" s="291"/>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09"/>
      <c r="B116" s="291"/>
      <c r="C116" s="291"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09"/>
      <c r="B117" s="291"/>
      <c r="C117" s="291"/>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09"/>
      <c r="B118" s="291" t="s">
        <v>86</v>
      </c>
      <c r="C118" s="291"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09"/>
      <c r="B119" s="291"/>
      <c r="C119" s="291"/>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09"/>
      <c r="B120" s="291"/>
      <c r="C120" s="291"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09"/>
      <c r="B121" s="291"/>
      <c r="C121" s="291"/>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09"/>
      <c r="B122" s="291"/>
      <c r="C122" s="291"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43"/>
      <c r="B123" s="291"/>
      <c r="C123" s="291"/>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91"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91"/>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91"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91"/>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91"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91"/>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91"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91"/>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91"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91"/>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91"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91"/>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57"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30.6" x14ac:dyDescent="0.2">
      <c r="A144" s="289"/>
      <c r="B144" s="284"/>
      <c r="C144" s="57"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ht="20.399999999999999" x14ac:dyDescent="0.2">
      <c r="A145" s="289"/>
      <c r="B145" s="284"/>
      <c r="C145" s="57"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91"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91"/>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91"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3"/>
      <c r="B151" s="284"/>
      <c r="C151" s="291"/>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99"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99"/>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91"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91"/>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91"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91"/>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99"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99"/>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91"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91"/>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91"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91"/>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284"/>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284"/>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284"/>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284"/>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284"/>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284"/>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284"/>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284"/>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284"/>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449"/>
      <c r="B182" s="284"/>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9.5" customHeight="1" x14ac:dyDescent="0.2">
      <c r="A183" s="273"/>
      <c r="B183" s="284"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449"/>
      <c r="B184" s="284"/>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284"/>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284"/>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284"/>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284"/>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305" t="s">
        <v>28</v>
      </c>
      <c r="C189" s="305"/>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F194" s="306"/>
      <c r="AG194" s="306"/>
      <c r="AH194" s="306"/>
    </row>
    <row r="195" spans="1:34" ht="15.75" customHeight="1" x14ac:dyDescent="0.2">
      <c r="A195" s="43">
        <v>2.1</v>
      </c>
      <c r="B195" s="264" t="s">
        <v>30</v>
      </c>
      <c r="C195" s="264"/>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F195" s="306"/>
      <c r="AG195" s="306"/>
      <c r="AH195" s="306"/>
    </row>
    <row r="196" spans="1:34" ht="15.75" customHeight="1" x14ac:dyDescent="0.2">
      <c r="A196" s="289"/>
      <c r="B196" s="288" t="s">
        <v>142</v>
      </c>
      <c r="C196" s="288"/>
      <c r="D196" s="273" t="s">
        <v>78</v>
      </c>
      <c r="E196" s="254">
        <v>0.10390000000000001</v>
      </c>
      <c r="F196" s="254">
        <v>0.10390000000000001</v>
      </c>
      <c r="G196" s="254">
        <v>0.10390000000000001</v>
      </c>
      <c r="H196" s="254">
        <v>0.10390000000000001</v>
      </c>
      <c r="I196" s="45"/>
      <c r="J196" s="254">
        <v>0.10390000000000001</v>
      </c>
      <c r="K196" s="254">
        <v>0.10390000000000001</v>
      </c>
      <c r="L196" s="254">
        <v>0.10390000000000001</v>
      </c>
      <c r="M196" s="254">
        <v>0.10390000000000001</v>
      </c>
      <c r="N196" s="254">
        <v>0.10390000000000001</v>
      </c>
      <c r="O196" s="45"/>
      <c r="P196" s="254">
        <v>0.10390000000000001</v>
      </c>
      <c r="Q196" s="254">
        <v>0.10390000000000001</v>
      </c>
      <c r="R196" s="254">
        <v>0.10390000000000001</v>
      </c>
      <c r="S196" s="254">
        <v>0.10390000000000001</v>
      </c>
      <c r="T196" s="254">
        <v>0.10390000000000001</v>
      </c>
      <c r="U196" s="45"/>
      <c r="V196" s="254">
        <v>0.10390000000000001</v>
      </c>
      <c r="W196" s="254">
        <v>0.39860000000000001</v>
      </c>
      <c r="X196" s="254">
        <v>0.39860000000000001</v>
      </c>
      <c r="Y196" s="254">
        <v>0.39860000000000001</v>
      </c>
      <c r="Z196" s="254">
        <v>0.39860000000000001</v>
      </c>
      <c r="AA196" s="45"/>
      <c r="AB196" s="254">
        <v>0.39860000000000001</v>
      </c>
      <c r="AC196" s="254">
        <v>0.13</v>
      </c>
      <c r="AD196" s="254">
        <v>0.13</v>
      </c>
      <c r="AE196" s="254">
        <v>0.13</v>
      </c>
      <c r="AF196" s="254">
        <v>0.13</v>
      </c>
      <c r="AG196" s="29"/>
      <c r="AH196" s="254">
        <v>0.13</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59.54/(59.54+4.367)</f>
        <v>0.93166632763234081</v>
      </c>
      <c r="X198" s="252">
        <f>59.54/(59.54+4.367)</f>
        <v>0.93166632763234081</v>
      </c>
      <c r="Y198" s="252">
        <f>59.54/(59.54+4.367)</f>
        <v>0.93166632763234081</v>
      </c>
      <c r="Z198" s="252">
        <f>59.54/(59.54+4.367)</f>
        <v>0.93166632763234081</v>
      </c>
      <c r="AA198" s="19"/>
      <c r="AB198" s="252">
        <f>59.54/(59.54+4.367)</f>
        <v>0.93166632763234081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1</v>
      </c>
      <c r="F200" s="250">
        <v>1</v>
      </c>
      <c r="G200" s="250">
        <v>1</v>
      </c>
      <c r="H200" s="250">
        <v>1</v>
      </c>
      <c r="I200" s="26"/>
      <c r="J200" s="250">
        <v>1</v>
      </c>
      <c r="K200" s="250">
        <v>1</v>
      </c>
      <c r="L200" s="250">
        <v>1</v>
      </c>
      <c r="M200" s="250">
        <v>1</v>
      </c>
      <c r="N200" s="250">
        <v>1</v>
      </c>
      <c r="O200" s="26"/>
      <c r="P200" s="250">
        <v>1</v>
      </c>
      <c r="Q200" s="250">
        <v>1</v>
      </c>
      <c r="R200" s="250">
        <v>1</v>
      </c>
      <c r="S200" s="250">
        <v>1</v>
      </c>
      <c r="T200" s="250">
        <v>1</v>
      </c>
      <c r="U200" s="26"/>
      <c r="V200" s="250">
        <v>1</v>
      </c>
      <c r="W200" s="250">
        <v>1</v>
      </c>
      <c r="X200" s="250">
        <v>1</v>
      </c>
      <c r="Y200" s="250">
        <v>1</v>
      </c>
      <c r="Z200" s="250">
        <v>1</v>
      </c>
      <c r="AA200" s="26"/>
      <c r="AB200" s="250">
        <v>1</v>
      </c>
      <c r="AC200" s="250">
        <v>1</v>
      </c>
      <c r="AD200" s="250">
        <v>1</v>
      </c>
      <c r="AE200" s="250">
        <v>1</v>
      </c>
      <c r="AF200" s="250">
        <v>1</v>
      </c>
      <c r="AG200" s="26"/>
      <c r="AH200" s="250">
        <v>1</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84"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84"/>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284"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84"/>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84"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84"/>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59.54/84.151</f>
        <v>0.70753764066974845</v>
      </c>
      <c r="F208" s="249">
        <f>59.54/84.151</f>
        <v>0.70753764066974845</v>
      </c>
      <c r="G208" s="249">
        <f>59.54/84.151</f>
        <v>0.70753764066974845</v>
      </c>
      <c r="H208" s="249">
        <f>59.54/84.151</f>
        <v>0.70753764066974845</v>
      </c>
      <c r="I208" s="19"/>
      <c r="J208" s="249">
        <f>59.54/84.151</f>
        <v>0.70753764066974845</v>
      </c>
      <c r="K208" s="249">
        <f>E208</f>
        <v>0.70753764066974845</v>
      </c>
      <c r="L208" s="249">
        <f>F208</f>
        <v>0.70753764066974845</v>
      </c>
      <c r="M208" s="249">
        <f>G208</f>
        <v>0.70753764066974845</v>
      </c>
      <c r="N208" s="249">
        <f>H208</f>
        <v>0.70753764066974845</v>
      </c>
      <c r="O208" s="19"/>
      <c r="P208" s="249">
        <f>J208</f>
        <v>0.70753764066974845</v>
      </c>
      <c r="Q208" s="249">
        <f>K208</f>
        <v>0.70753764066974845</v>
      </c>
      <c r="R208" s="249">
        <f>L208</f>
        <v>0.70753764066974845</v>
      </c>
      <c r="S208" s="249">
        <f>M208</f>
        <v>0.70753764066974845</v>
      </c>
      <c r="T208" s="249">
        <f>N208</f>
        <v>0.70753764066974845</v>
      </c>
      <c r="U208" s="19"/>
      <c r="V208" s="249">
        <f>P208</f>
        <v>0.70753764066974845</v>
      </c>
      <c r="W208" s="249">
        <f>(59.54+4.367)/84.151</f>
        <v>0.75943244881225414</v>
      </c>
      <c r="X208" s="249">
        <f>(59.54+4.367)/84.151</f>
        <v>0.75943244881225414</v>
      </c>
      <c r="Y208" s="249">
        <f>(59.54+4.367)/84.151</f>
        <v>0.75943244881225414</v>
      </c>
      <c r="Z208" s="249">
        <f>(59.54+4.367)/84.151</f>
        <v>0.75943244881225414</v>
      </c>
      <c r="AA208" s="19"/>
      <c r="AB208" s="249">
        <f>(59.54+4.367)/84.151</f>
        <v>0.75943244881225414</v>
      </c>
      <c r="AC208" s="249">
        <f>W208</f>
        <v>0.75943244881225414</v>
      </c>
      <c r="AD208" s="249">
        <f>X208</f>
        <v>0.75943244881225414</v>
      </c>
      <c r="AE208" s="249">
        <f>Y208</f>
        <v>0.75943244881225414</v>
      </c>
      <c r="AF208" s="249">
        <f>Z208</f>
        <v>0.75943244881225414</v>
      </c>
      <c r="AG208" s="19"/>
      <c r="AH208" s="249">
        <f>AB208</f>
        <v>0.75943244881225414</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v>1</v>
      </c>
      <c r="F210" s="249">
        <v>1</v>
      </c>
      <c r="G210" s="249">
        <v>1</v>
      </c>
      <c r="H210" s="249">
        <v>1</v>
      </c>
      <c r="I210" s="19"/>
      <c r="J210" s="249">
        <v>1</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f>17.11/84.151</f>
        <v>0.20332497534194485</v>
      </c>
      <c r="F213" s="249">
        <f>17.11/84.151</f>
        <v>0.20332497534194485</v>
      </c>
      <c r="G213" s="249">
        <f>17.11/84.151</f>
        <v>0.20332497534194485</v>
      </c>
      <c r="H213" s="249">
        <f>17.11/84.151</f>
        <v>0.20332497534194485</v>
      </c>
      <c r="I213" s="19"/>
      <c r="J213" s="249">
        <f>17.11/84.151</f>
        <v>0.20332497534194485</v>
      </c>
      <c r="K213" s="249">
        <f>17.11/84.151</f>
        <v>0.20332497534194485</v>
      </c>
      <c r="L213" s="249">
        <f>17.11/84.151</f>
        <v>0.20332497534194485</v>
      </c>
      <c r="M213" s="249">
        <f>17.11/84.151</f>
        <v>0.20332497534194485</v>
      </c>
      <c r="N213" s="249">
        <f>17.11/84.151</f>
        <v>0.20332497534194485</v>
      </c>
      <c r="O213" s="19"/>
      <c r="P213" s="249">
        <f>17.11/84.151</f>
        <v>0.20332497534194485</v>
      </c>
      <c r="Q213" s="249">
        <f>17.11/84.151</f>
        <v>0.20332497534194485</v>
      </c>
      <c r="R213" s="249">
        <f>17.11/84.151</f>
        <v>0.20332497534194485</v>
      </c>
      <c r="S213" s="249">
        <f>17.11/84.151</f>
        <v>0.20332497534194485</v>
      </c>
      <c r="T213" s="249">
        <f>17.11/84.151</f>
        <v>0.20332497534194485</v>
      </c>
      <c r="U213" s="19"/>
      <c r="V213" s="249">
        <f>17.11/84.151</f>
        <v>0.20332497534194485</v>
      </c>
      <c r="W213" s="249">
        <f>(17.11+29.074+6.992)/84.151</f>
        <v>0.63191168257061703</v>
      </c>
      <c r="X213" s="249">
        <f>(17.11+29.074+6.992)/84.151</f>
        <v>0.63191168257061703</v>
      </c>
      <c r="Y213" s="249">
        <f>(17.11+29.074+6.992)/84.151</f>
        <v>0.63191168257061703</v>
      </c>
      <c r="Z213" s="249">
        <f>(17.11+29.074+6.992)/84.151</f>
        <v>0.63191168257061703</v>
      </c>
      <c r="AA213" s="19"/>
      <c r="AB213" s="249">
        <f>(17.11+29.074+6.992)/84.151</f>
        <v>0.63191168257061703</v>
      </c>
      <c r="AC213" s="249">
        <f>(17.11+29.074+6.992)/84.151</f>
        <v>0.63191168257061703</v>
      </c>
      <c r="AD213" s="249">
        <f>(17.11+29.074+6.992)/84.151</f>
        <v>0.63191168257061703</v>
      </c>
      <c r="AE213" s="249">
        <f>(17.11+29.074+6.992)/84.151</f>
        <v>0.63191168257061703</v>
      </c>
      <c r="AF213" s="249">
        <f>(17.11+29.074+6.992)/84.151</f>
        <v>0.63191168257061703</v>
      </c>
      <c r="AG213" s="19"/>
      <c r="AH213" s="249">
        <f>(17.11+29.074+6.992)/84.151</f>
        <v>0.63191168257061703</v>
      </c>
    </row>
    <row r="214" spans="1:34" ht="26.4" customHeight="1"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17.11/(17.11+29.074+6.992)</f>
        <v>0.32176169700616819</v>
      </c>
      <c r="X215" s="249">
        <f>17.11/(17.11+29.074+6.992)</f>
        <v>0.32176169700616819</v>
      </c>
      <c r="Y215" s="249">
        <f>17.11/(17.11+29.074+6.992)</f>
        <v>0.32176169700616819</v>
      </c>
      <c r="Z215" s="249">
        <f>17.11/(17.11+29.074+6.992)</f>
        <v>0.32176169700616819</v>
      </c>
      <c r="AA215" s="19"/>
      <c r="AB215" s="249">
        <f>17.11/(17.11+29.074+6.992)</f>
        <v>0.32176169700616819</v>
      </c>
      <c r="AC215" s="249">
        <v>1</v>
      </c>
      <c r="AD215" s="249">
        <v>1</v>
      </c>
      <c r="AE215" s="249">
        <v>1</v>
      </c>
      <c r="AF215" s="249">
        <v>1</v>
      </c>
      <c r="AG215" s="19"/>
      <c r="AH215" s="249">
        <v>1</v>
      </c>
    </row>
    <row r="216" spans="1:34" ht="36"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39" customHeight="1" x14ac:dyDescent="0.2">
      <c r="A217" s="289"/>
      <c r="B217" s="284" t="s">
        <v>153</v>
      </c>
      <c r="C217" s="284"/>
      <c r="D217" s="25" t="s">
        <v>100</v>
      </c>
      <c r="E217" s="250">
        <v>0.5</v>
      </c>
      <c r="F217" s="250">
        <v>0.5</v>
      </c>
      <c r="G217" s="250">
        <v>0.5</v>
      </c>
      <c r="H217" s="250">
        <v>0.5</v>
      </c>
      <c r="I217" s="26"/>
      <c r="J217" s="250">
        <v>0.5</v>
      </c>
      <c r="K217" s="250">
        <v>0.5</v>
      </c>
      <c r="L217" s="250">
        <v>0.5</v>
      </c>
      <c r="M217" s="250">
        <v>0.5</v>
      </c>
      <c r="N217" s="250">
        <v>0.5</v>
      </c>
      <c r="O217" s="26"/>
      <c r="P217" s="250">
        <v>0.5</v>
      </c>
      <c r="Q217" s="250">
        <v>0.5</v>
      </c>
      <c r="R217" s="250">
        <v>0.5</v>
      </c>
      <c r="S217" s="250">
        <v>0.5</v>
      </c>
      <c r="T217" s="250">
        <v>0.5</v>
      </c>
      <c r="U217" s="26"/>
      <c r="V217" s="250">
        <v>0.5</v>
      </c>
      <c r="W217" s="250">
        <v>1</v>
      </c>
      <c r="X217" s="250">
        <v>1</v>
      </c>
      <c r="Y217" s="250">
        <v>1</v>
      </c>
      <c r="Z217" s="250">
        <v>1</v>
      </c>
      <c r="AA217" s="26"/>
      <c r="AB217" s="250">
        <v>1</v>
      </c>
      <c r="AC217" s="250">
        <v>1</v>
      </c>
      <c r="AD217" s="250">
        <v>1</v>
      </c>
      <c r="AE217" s="250">
        <v>1</v>
      </c>
      <c r="AF217" s="250">
        <v>1</v>
      </c>
      <c r="AG217" s="26"/>
      <c r="AH217" s="250">
        <v>1</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2"/>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2"/>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2"/>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2"/>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18">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2918</v>
      </c>
      <c r="F226" s="23">
        <v>2925</v>
      </c>
      <c r="G226" s="23">
        <v>2933</v>
      </c>
      <c r="H226" s="23">
        <v>2940</v>
      </c>
      <c r="I226" s="41"/>
      <c r="J226" s="41">
        <v>2940</v>
      </c>
      <c r="K226" s="23">
        <v>2948</v>
      </c>
      <c r="L226" s="23">
        <v>2955</v>
      </c>
      <c r="M226" s="23">
        <v>2963</v>
      </c>
      <c r="N226" s="23">
        <v>2970</v>
      </c>
      <c r="O226" s="41"/>
      <c r="P226" s="41">
        <v>2970</v>
      </c>
      <c r="Q226" s="23">
        <v>2978</v>
      </c>
      <c r="R226" s="23">
        <v>2985</v>
      </c>
      <c r="S226" s="23">
        <v>2993</v>
      </c>
      <c r="T226" s="23">
        <v>3000</v>
      </c>
      <c r="U226" s="23"/>
      <c r="V226" s="41">
        <v>3000</v>
      </c>
      <c r="W226" s="23">
        <v>3008</v>
      </c>
      <c r="X226" s="23">
        <v>3015</v>
      </c>
      <c r="Y226" s="23">
        <v>3023</v>
      </c>
      <c r="Z226" s="23">
        <v>3030</v>
      </c>
      <c r="AA226" s="41"/>
      <c r="AB226" s="85">
        <v>3030</v>
      </c>
      <c r="AC226" s="23">
        <v>3033</v>
      </c>
      <c r="AD226" s="23">
        <v>3037</v>
      </c>
      <c r="AE226" s="23">
        <v>3040</v>
      </c>
      <c r="AF226" s="23">
        <v>3043</v>
      </c>
      <c r="AG226" s="41"/>
      <c r="AH226" s="85">
        <v>3043</v>
      </c>
    </row>
    <row r="227" spans="1:34" x14ac:dyDescent="0.2">
      <c r="A227" s="289"/>
      <c r="B227" s="284"/>
      <c r="C227" s="284"/>
      <c r="D227" s="25" t="s">
        <v>32</v>
      </c>
      <c r="E227" s="26">
        <v>59.54</v>
      </c>
      <c r="F227" s="26">
        <v>59.54</v>
      </c>
      <c r="G227" s="26">
        <v>59.54</v>
      </c>
      <c r="H227" s="26">
        <v>59.54</v>
      </c>
      <c r="I227" s="26"/>
      <c r="J227" s="26">
        <v>59.54</v>
      </c>
      <c r="K227" s="26">
        <v>59.54</v>
      </c>
      <c r="L227" s="26">
        <v>59.54</v>
      </c>
      <c r="M227" s="26">
        <v>59.54</v>
      </c>
      <c r="N227" s="26">
        <v>59.54</v>
      </c>
      <c r="O227" s="26"/>
      <c r="P227" s="26">
        <v>59.54</v>
      </c>
      <c r="Q227" s="26">
        <v>59.54</v>
      </c>
      <c r="R227" s="26">
        <v>59.54</v>
      </c>
      <c r="S227" s="26">
        <v>59.54</v>
      </c>
      <c r="T227" s="26">
        <v>59.54</v>
      </c>
      <c r="U227" s="44"/>
      <c r="V227" s="26">
        <v>59.54</v>
      </c>
      <c r="W227" s="26">
        <f>59.54+4.367</f>
        <v>63.906999999999996</v>
      </c>
      <c r="X227" s="26">
        <f t="shared" ref="X227:Z228" si="0">59.54+4.367</f>
        <v>63.906999999999996</v>
      </c>
      <c r="Y227" s="26">
        <f t="shared" si="0"/>
        <v>63.906999999999996</v>
      </c>
      <c r="Z227" s="26">
        <f t="shared" si="0"/>
        <v>63.906999999999996</v>
      </c>
      <c r="AA227" s="26"/>
      <c r="AB227" s="26">
        <f>59.54+4.367</f>
        <v>63.906999999999996</v>
      </c>
      <c r="AC227" s="26">
        <f t="shared" ref="AC227:AF228" si="1">59.54+4.367</f>
        <v>63.906999999999996</v>
      </c>
      <c r="AD227" s="26">
        <f t="shared" si="1"/>
        <v>63.906999999999996</v>
      </c>
      <c r="AE227" s="26">
        <f t="shared" si="1"/>
        <v>63.906999999999996</v>
      </c>
      <c r="AF227" s="26">
        <f t="shared" si="1"/>
        <v>63.906999999999996</v>
      </c>
      <c r="AG227" s="26"/>
      <c r="AH227" s="26">
        <f>59.54+4.367</f>
        <v>63.906999999999996</v>
      </c>
    </row>
    <row r="228" spans="1:34" ht="15.75" customHeight="1" x14ac:dyDescent="0.2">
      <c r="A228" s="289"/>
      <c r="B228" s="284" t="s">
        <v>46</v>
      </c>
      <c r="C228" s="284"/>
      <c r="D228" s="25" t="s">
        <v>32</v>
      </c>
      <c r="E228" s="26">
        <v>59.54</v>
      </c>
      <c r="F228" s="26">
        <v>59.54</v>
      </c>
      <c r="G228" s="26">
        <v>59.54</v>
      </c>
      <c r="H228" s="26">
        <v>59.54</v>
      </c>
      <c r="I228" s="26"/>
      <c r="J228" s="26">
        <v>59.54</v>
      </c>
      <c r="K228" s="26">
        <v>59.54</v>
      </c>
      <c r="L228" s="26">
        <v>59.54</v>
      </c>
      <c r="M228" s="26">
        <v>59.54</v>
      </c>
      <c r="N228" s="26">
        <v>59.54</v>
      </c>
      <c r="O228" s="26"/>
      <c r="P228" s="26">
        <v>59.54</v>
      </c>
      <c r="Q228" s="26">
        <v>59.54</v>
      </c>
      <c r="R228" s="26">
        <v>59.54</v>
      </c>
      <c r="S228" s="26">
        <v>59.54</v>
      </c>
      <c r="T228" s="26">
        <v>59.54</v>
      </c>
      <c r="U228" s="44"/>
      <c r="V228" s="26">
        <v>59.54</v>
      </c>
      <c r="W228" s="26">
        <f>59.54+4.367</f>
        <v>63.906999999999996</v>
      </c>
      <c r="X228" s="26">
        <f t="shared" si="0"/>
        <v>63.906999999999996</v>
      </c>
      <c r="Y228" s="26">
        <f t="shared" si="0"/>
        <v>63.906999999999996</v>
      </c>
      <c r="Z228" s="26">
        <f t="shared" si="0"/>
        <v>63.906999999999996</v>
      </c>
      <c r="AA228" s="26"/>
      <c r="AB228" s="26">
        <f>59.54+4.367</f>
        <v>63.906999999999996</v>
      </c>
      <c r="AC228" s="26">
        <f t="shared" si="1"/>
        <v>63.906999999999996</v>
      </c>
      <c r="AD228" s="26">
        <f t="shared" si="1"/>
        <v>63.906999999999996</v>
      </c>
      <c r="AE228" s="26">
        <f t="shared" si="1"/>
        <v>63.906999999999996</v>
      </c>
      <c r="AF228" s="26">
        <f t="shared" si="1"/>
        <v>63.906999999999996</v>
      </c>
      <c r="AG228" s="26"/>
      <c r="AH228" s="26">
        <f>59.54+4.367</f>
        <v>63.906999999999996</v>
      </c>
    </row>
    <row r="229" spans="1:34" x14ac:dyDescent="0.2">
      <c r="A229" s="289"/>
      <c r="B229" s="284"/>
      <c r="C229" s="284"/>
      <c r="D229" s="25" t="s">
        <v>143</v>
      </c>
      <c r="E229" s="51">
        <v>6351.125</v>
      </c>
      <c r="F229" s="51">
        <v>6461.25</v>
      </c>
      <c r="G229" s="51">
        <v>6571.375</v>
      </c>
      <c r="H229" s="51">
        <v>6681.5</v>
      </c>
      <c r="I229" s="41"/>
      <c r="J229" s="41">
        <v>6681.5</v>
      </c>
      <c r="K229" s="51">
        <v>6792</v>
      </c>
      <c r="L229" s="51">
        <v>6902</v>
      </c>
      <c r="M229" s="51">
        <v>7012</v>
      </c>
      <c r="N229" s="51">
        <v>7122</v>
      </c>
      <c r="O229" s="41"/>
      <c r="P229" s="41">
        <v>7122</v>
      </c>
      <c r="Q229" s="51">
        <v>7230.9</v>
      </c>
      <c r="R229" s="51">
        <v>7339.8</v>
      </c>
      <c r="S229" s="51">
        <v>7448.7</v>
      </c>
      <c r="T229" s="51">
        <v>7557.6</v>
      </c>
      <c r="U229" s="51"/>
      <c r="V229" s="41">
        <v>7557.6</v>
      </c>
      <c r="W229" s="51">
        <v>7677.0225</v>
      </c>
      <c r="X229" s="51">
        <v>7796.4449999999997</v>
      </c>
      <c r="Y229" s="51">
        <v>7915.8675000000003</v>
      </c>
      <c r="Z229" s="51">
        <v>8035.29</v>
      </c>
      <c r="AA229" s="41"/>
      <c r="AB229" s="41">
        <v>8035.29</v>
      </c>
      <c r="AC229" s="51">
        <v>8036.5024999999996</v>
      </c>
      <c r="AD229" s="51">
        <v>8037.7150000000001</v>
      </c>
      <c r="AE229" s="51">
        <v>8038.9274999999998</v>
      </c>
      <c r="AF229" s="51">
        <v>8040.14</v>
      </c>
      <c r="AG229" s="41"/>
      <c r="AH229" s="41">
        <v>8040.14</v>
      </c>
    </row>
    <row r="230" spans="1:34" ht="15.75" customHeight="1" x14ac:dyDescent="0.2">
      <c r="A230" s="289"/>
      <c r="B230" s="284" t="s">
        <v>47</v>
      </c>
      <c r="C230" s="284"/>
      <c r="D230" s="25" t="s">
        <v>32</v>
      </c>
      <c r="E230" s="45">
        <v>59.54</v>
      </c>
      <c r="F230" s="45">
        <v>59.54</v>
      </c>
      <c r="G230" s="45">
        <v>59.54</v>
      </c>
      <c r="H230" s="45">
        <v>59.54</v>
      </c>
      <c r="I230" s="41"/>
      <c r="J230" s="26">
        <v>59.54</v>
      </c>
      <c r="K230" s="26">
        <v>59.54</v>
      </c>
      <c r="L230" s="26">
        <v>59.54</v>
      </c>
      <c r="M230" s="26">
        <v>59.54</v>
      </c>
      <c r="N230" s="26">
        <v>59.54</v>
      </c>
      <c r="O230" s="26"/>
      <c r="P230" s="26">
        <v>59.54</v>
      </c>
      <c r="Q230" s="26">
        <v>59.54</v>
      </c>
      <c r="R230" s="26">
        <v>59.54</v>
      </c>
      <c r="S230" s="26">
        <v>59.54</v>
      </c>
      <c r="T230" s="26">
        <v>59.54</v>
      </c>
      <c r="U230" s="44"/>
      <c r="V230" s="26">
        <v>59.54</v>
      </c>
      <c r="W230" s="44">
        <v>63.91</v>
      </c>
      <c r="X230" s="44">
        <v>63.91</v>
      </c>
      <c r="Y230" s="44">
        <v>63.91</v>
      </c>
      <c r="Z230" s="44">
        <v>63.91</v>
      </c>
      <c r="AA230" s="26"/>
      <c r="AB230" s="26">
        <f>59.54+4.367</f>
        <v>63.906999999999996</v>
      </c>
      <c r="AC230" s="26">
        <f>59.54+4.367</f>
        <v>63.906999999999996</v>
      </c>
      <c r="AD230" s="26">
        <f>59.54+4.367</f>
        <v>63.906999999999996</v>
      </c>
      <c r="AE230" s="26">
        <f>59.54+4.367</f>
        <v>63.906999999999996</v>
      </c>
      <c r="AF230" s="26">
        <f>59.54+4.367</f>
        <v>63.906999999999996</v>
      </c>
      <c r="AG230" s="26"/>
      <c r="AH230" s="26">
        <f>59.54+4.367</f>
        <v>63.906999999999996</v>
      </c>
    </row>
    <row r="231" spans="1:34" x14ac:dyDescent="0.2">
      <c r="A231" s="289"/>
      <c r="B231" s="284"/>
      <c r="C231" s="284"/>
      <c r="D231" s="25" t="s">
        <v>143</v>
      </c>
      <c r="E231" s="51">
        <v>6351.125</v>
      </c>
      <c r="F231" s="51">
        <v>6461.25</v>
      </c>
      <c r="G231" s="51">
        <v>6571.375</v>
      </c>
      <c r="H231" s="51">
        <v>6681.5</v>
      </c>
      <c r="I231" s="41"/>
      <c r="J231" s="41">
        <v>6681.5</v>
      </c>
      <c r="K231" s="51">
        <v>6792</v>
      </c>
      <c r="L231" s="51">
        <v>6902</v>
      </c>
      <c r="M231" s="51">
        <v>7012</v>
      </c>
      <c r="N231" s="51">
        <v>7122</v>
      </c>
      <c r="O231" s="41"/>
      <c r="P231" s="41">
        <v>7122</v>
      </c>
      <c r="Q231" s="51">
        <v>7230.9</v>
      </c>
      <c r="R231" s="51">
        <v>7339.8</v>
      </c>
      <c r="S231" s="51">
        <v>7448.7</v>
      </c>
      <c r="T231" s="51">
        <v>7557.6</v>
      </c>
      <c r="U231" s="51"/>
      <c r="V231" s="41">
        <v>7557.6</v>
      </c>
      <c r="W231" s="51">
        <v>7677.0225</v>
      </c>
      <c r="X231" s="51">
        <v>7796.4449999999997</v>
      </c>
      <c r="Y231" s="51">
        <v>7915.8675000000003</v>
      </c>
      <c r="Z231" s="51">
        <v>8035.29</v>
      </c>
      <c r="AA231" s="41"/>
      <c r="AB231" s="41">
        <v>8035.29</v>
      </c>
      <c r="AC231" s="51">
        <v>8036.5024999999996</v>
      </c>
      <c r="AD231" s="51">
        <v>8037.7150000000001</v>
      </c>
      <c r="AE231" s="51">
        <v>8038.9274999999998</v>
      </c>
      <c r="AF231" s="51">
        <v>8040.14</v>
      </c>
      <c r="AG231" s="41"/>
      <c r="AH231" s="41">
        <v>8040.14</v>
      </c>
    </row>
    <row r="232" spans="1:34" x14ac:dyDescent="0.2">
      <c r="A232" s="289"/>
      <c r="B232" s="284" t="s">
        <v>36</v>
      </c>
      <c r="C232" s="284"/>
      <c r="D232" s="25" t="s">
        <v>144</v>
      </c>
      <c r="E232" s="23">
        <v>704</v>
      </c>
      <c r="F232" s="23">
        <v>711</v>
      </c>
      <c r="G232" s="23">
        <v>717</v>
      </c>
      <c r="H232" s="23">
        <v>723</v>
      </c>
      <c r="I232" s="41"/>
      <c r="J232" s="41">
        <v>723</v>
      </c>
      <c r="K232" s="23">
        <v>729</v>
      </c>
      <c r="L232" s="23">
        <v>736</v>
      </c>
      <c r="M232" s="23">
        <v>742</v>
      </c>
      <c r="N232" s="23">
        <v>748</v>
      </c>
      <c r="O232" s="41"/>
      <c r="P232" s="41">
        <v>748</v>
      </c>
      <c r="Q232" s="23">
        <v>779</v>
      </c>
      <c r="R232" s="23">
        <v>809</v>
      </c>
      <c r="S232" s="23">
        <v>840</v>
      </c>
      <c r="T232" s="23">
        <v>870</v>
      </c>
      <c r="U232" s="41"/>
      <c r="V232" s="41">
        <v>870</v>
      </c>
      <c r="W232" s="23">
        <v>1297</v>
      </c>
      <c r="X232" s="23">
        <v>1725</v>
      </c>
      <c r="Y232" s="23">
        <v>2152</v>
      </c>
      <c r="Z232" s="23">
        <v>2579</v>
      </c>
      <c r="AA232" s="41"/>
      <c r="AB232" s="41">
        <v>2579</v>
      </c>
      <c r="AC232" s="23">
        <v>2573</v>
      </c>
      <c r="AD232" s="23">
        <v>2575</v>
      </c>
      <c r="AE232" s="23">
        <v>2577</v>
      </c>
      <c r="AF232" s="23">
        <v>2579</v>
      </c>
      <c r="AG232" s="41"/>
      <c r="AH232" s="41">
        <v>2579</v>
      </c>
    </row>
    <row r="233" spans="1:34" x14ac:dyDescent="0.2">
      <c r="A233" s="289"/>
      <c r="B233" s="284"/>
      <c r="C233" s="284"/>
      <c r="D233" s="25" t="s">
        <v>32</v>
      </c>
      <c r="E233" s="23">
        <v>17.11</v>
      </c>
      <c r="F233" s="23">
        <v>17.11</v>
      </c>
      <c r="G233" s="23">
        <v>17.11</v>
      </c>
      <c r="H233" s="23">
        <v>17.11</v>
      </c>
      <c r="I233" s="41"/>
      <c r="J233" s="26">
        <v>17.11</v>
      </c>
      <c r="K233" s="26">
        <v>17.11</v>
      </c>
      <c r="L233" s="26">
        <v>17.11</v>
      </c>
      <c r="M233" s="26">
        <v>17.11</v>
      </c>
      <c r="N233" s="26">
        <v>17.11</v>
      </c>
      <c r="O233" s="41"/>
      <c r="P233" s="26">
        <v>17.11</v>
      </c>
      <c r="Q233" s="26">
        <v>17.11</v>
      </c>
      <c r="R233" s="26">
        <v>17.11</v>
      </c>
      <c r="S233" s="26">
        <v>17.11</v>
      </c>
      <c r="T233" s="26">
        <v>17.11</v>
      </c>
      <c r="U233" s="41"/>
      <c r="V233" s="26">
        <v>17.11</v>
      </c>
      <c r="W233" s="44">
        <v>26.1265</v>
      </c>
      <c r="X233" s="44">
        <v>35.143000000000001</v>
      </c>
      <c r="Y233" s="44">
        <v>44.159500000000001</v>
      </c>
      <c r="Z233" s="44">
        <v>53.175999999999988</v>
      </c>
      <c r="AA233" s="26"/>
      <c r="AB233" s="26">
        <v>53.175999999999988</v>
      </c>
      <c r="AC233" s="44">
        <v>53.056353999999999</v>
      </c>
      <c r="AD233" s="44">
        <v>53.096235999999998</v>
      </c>
      <c r="AE233" s="44">
        <v>53.136118000000003</v>
      </c>
      <c r="AF233" s="44">
        <v>53.175999999999988</v>
      </c>
      <c r="AG233" s="26"/>
      <c r="AH233" s="26">
        <v>53.175999999999988</v>
      </c>
    </row>
    <row r="234" spans="1:34" ht="15.75" customHeight="1" x14ac:dyDescent="0.2">
      <c r="A234" s="289"/>
      <c r="B234" s="284" t="s">
        <v>48</v>
      </c>
      <c r="C234" s="284"/>
      <c r="D234" s="24" t="s">
        <v>143</v>
      </c>
      <c r="E234" s="41">
        <v>1560</v>
      </c>
      <c r="F234" s="41">
        <v>1677</v>
      </c>
      <c r="G234" s="41">
        <v>1793</v>
      </c>
      <c r="H234" s="41">
        <v>1909</v>
      </c>
      <c r="I234" s="41"/>
      <c r="J234" s="47">
        <v>1909</v>
      </c>
      <c r="K234" s="47">
        <v>2025</v>
      </c>
      <c r="L234" s="47">
        <v>2142</v>
      </c>
      <c r="M234" s="47">
        <v>2258</v>
      </c>
      <c r="N234" s="47">
        <v>2374</v>
      </c>
      <c r="O234" s="41"/>
      <c r="P234" s="41">
        <v>2374</v>
      </c>
      <c r="Q234" s="47">
        <v>2725.2</v>
      </c>
      <c r="R234" s="47">
        <v>3076.4</v>
      </c>
      <c r="S234" s="47">
        <v>3427.6</v>
      </c>
      <c r="T234" s="47">
        <v>3778.8</v>
      </c>
      <c r="U234" s="41"/>
      <c r="V234" s="41">
        <v>3778.8</v>
      </c>
      <c r="W234" s="47">
        <v>4678.4575000000004</v>
      </c>
      <c r="X234" s="47">
        <v>5578.1149999999998</v>
      </c>
      <c r="Y234" s="47">
        <v>6477.7725</v>
      </c>
      <c r="Z234" s="47">
        <v>7377.43</v>
      </c>
      <c r="AA234" s="41"/>
      <c r="AB234" s="41">
        <v>7377.43</v>
      </c>
      <c r="AC234" s="47">
        <v>7379.5</v>
      </c>
      <c r="AD234" s="47">
        <v>7381.57</v>
      </c>
      <c r="AE234" s="47">
        <v>7383.64</v>
      </c>
      <c r="AF234" s="47">
        <v>7385.71</v>
      </c>
      <c r="AG234" s="41"/>
      <c r="AH234" s="41">
        <v>7385.71</v>
      </c>
    </row>
    <row r="235" spans="1:34" x14ac:dyDescent="0.2">
      <c r="A235" s="289"/>
      <c r="B235" s="284"/>
      <c r="C235" s="284"/>
      <c r="D235" s="24" t="s">
        <v>143</v>
      </c>
      <c r="E235" s="23">
        <v>9545</v>
      </c>
      <c r="F235" s="23">
        <v>9545</v>
      </c>
      <c r="G235" s="23">
        <v>9545</v>
      </c>
      <c r="H235" s="23">
        <v>9545</v>
      </c>
      <c r="I235" s="41"/>
      <c r="J235" s="23">
        <f>9594-49</f>
        <v>9545</v>
      </c>
      <c r="K235" s="23">
        <v>9496</v>
      </c>
      <c r="L235" s="23">
        <v>9496</v>
      </c>
      <c r="M235" s="23">
        <v>9496</v>
      </c>
      <c r="N235" s="23">
        <v>9496</v>
      </c>
      <c r="O235" s="41"/>
      <c r="P235" s="41">
        <f>J235-49</f>
        <v>9496</v>
      </c>
      <c r="Q235" s="23">
        <v>9447</v>
      </c>
      <c r="R235" s="23">
        <v>9447</v>
      </c>
      <c r="S235" s="23">
        <v>9447</v>
      </c>
      <c r="T235" s="23">
        <v>9447</v>
      </c>
      <c r="U235" s="41"/>
      <c r="V235" s="41">
        <f>P235-49</f>
        <v>9447</v>
      </c>
      <c r="W235" s="23">
        <v>9398</v>
      </c>
      <c r="X235" s="23">
        <v>9398</v>
      </c>
      <c r="Y235" s="23">
        <v>9398</v>
      </c>
      <c r="Z235" s="23">
        <v>9398</v>
      </c>
      <c r="AA235" s="41"/>
      <c r="AB235" s="41">
        <f>V235-49</f>
        <v>9398</v>
      </c>
      <c r="AC235" s="23">
        <v>9349</v>
      </c>
      <c r="AD235" s="23">
        <v>9349</v>
      </c>
      <c r="AE235" s="23">
        <v>9349</v>
      </c>
      <c r="AF235" s="23">
        <v>9349</v>
      </c>
      <c r="AG235" s="41"/>
      <c r="AH235" s="41">
        <f>AB235-49</f>
        <v>9349</v>
      </c>
    </row>
    <row r="236" spans="1:34" x14ac:dyDescent="0.2">
      <c r="A236" s="17">
        <v>3.2</v>
      </c>
      <c r="B236" s="448" t="s">
        <v>37</v>
      </c>
      <c r="C236" s="448"/>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1:34" ht="15.75" customHeight="1" x14ac:dyDescent="0.2">
      <c r="A237" s="283"/>
      <c r="B237" s="284" t="s">
        <v>102</v>
      </c>
      <c r="C237" s="52"/>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2"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286"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286"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286"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286"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284"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284"/>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284"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284"/>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284"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284"/>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10"/>
      <c r="D256" s="9"/>
    </row>
  </sheetData>
  <mergeCells count="2950">
    <mergeCell ref="AH253:AH254"/>
    <mergeCell ref="J249:J250"/>
    <mergeCell ref="P249:P250"/>
    <mergeCell ref="V249:V250"/>
    <mergeCell ref="AH249:AH250"/>
    <mergeCell ref="J251:J252"/>
    <mergeCell ref="P251:P252"/>
    <mergeCell ref="V251:V252"/>
    <mergeCell ref="AB251:AB252"/>
    <mergeCell ref="AH251:AH252"/>
    <mergeCell ref="Q249:Q250"/>
    <mergeCell ref="R249:R250"/>
    <mergeCell ref="S249:S250"/>
    <mergeCell ref="J245:J246"/>
    <mergeCell ref="P245:P246"/>
    <mergeCell ref="V245:V246"/>
    <mergeCell ref="AB245:AB246"/>
    <mergeCell ref="AH245:AH246"/>
    <mergeCell ref="J247:J248"/>
    <mergeCell ref="P247:P248"/>
    <mergeCell ref="V247:V248"/>
    <mergeCell ref="AB247:AB248"/>
    <mergeCell ref="AH247:AH248"/>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AD243:AD244"/>
    <mergeCell ref="AE243:AE244"/>
    <mergeCell ref="AF243:AF244"/>
    <mergeCell ref="J241:J242"/>
    <mergeCell ref="P241:P242"/>
    <mergeCell ref="V241:V242"/>
    <mergeCell ref="AH217:AH218"/>
    <mergeCell ref="G222:H222"/>
    <mergeCell ref="M222:N222"/>
    <mergeCell ref="S222:T222"/>
    <mergeCell ref="Y222:Z222"/>
    <mergeCell ref="AE222:AF222"/>
    <mergeCell ref="D215:D216"/>
    <mergeCell ref="J215:J216"/>
    <mergeCell ref="P215:P216"/>
    <mergeCell ref="V215:V216"/>
    <mergeCell ref="AB215:AB216"/>
    <mergeCell ref="AH210:AH211"/>
    <mergeCell ref="AH215:AH216"/>
    <mergeCell ref="D213:D214"/>
    <mergeCell ref="J213:J214"/>
    <mergeCell ref="P213:P214"/>
    <mergeCell ref="V213:V214"/>
    <mergeCell ref="AB213:AB214"/>
    <mergeCell ref="AH213:AH214"/>
    <mergeCell ref="Q210:Q211"/>
    <mergeCell ref="R210:R211"/>
    <mergeCell ref="S210:S211"/>
    <mergeCell ref="T210:T211"/>
    <mergeCell ref="K217:K218"/>
    <mergeCell ref="L217:L218"/>
    <mergeCell ref="M217:M218"/>
    <mergeCell ref="N217:N218"/>
    <mergeCell ref="Q217:Q218"/>
    <mergeCell ref="J208:J209"/>
    <mergeCell ref="P208:P209"/>
    <mergeCell ref="V208:V209"/>
    <mergeCell ref="AB208:AB209"/>
    <mergeCell ref="AH208:AH209"/>
    <mergeCell ref="K210:K211"/>
    <mergeCell ref="L210:L211"/>
    <mergeCell ref="D210:D211"/>
    <mergeCell ref="J210:J211"/>
    <mergeCell ref="P210:P211"/>
    <mergeCell ref="V210:V211"/>
    <mergeCell ref="AB210:AB211"/>
    <mergeCell ref="D206:D207"/>
    <mergeCell ref="J206:J207"/>
    <mergeCell ref="P206:P207"/>
    <mergeCell ref="V206:V207"/>
    <mergeCell ref="AB206:AB207"/>
    <mergeCell ref="AH206:AH207"/>
    <mergeCell ref="K206:K207"/>
    <mergeCell ref="L206:L207"/>
    <mergeCell ref="M206:M207"/>
    <mergeCell ref="N206:N207"/>
    <mergeCell ref="K208:K209"/>
    <mergeCell ref="L208:L209"/>
    <mergeCell ref="M208:M209"/>
    <mergeCell ref="N208:N209"/>
    <mergeCell ref="M210:M211"/>
    <mergeCell ref="N210:N211"/>
    <mergeCell ref="Q208:Q209"/>
    <mergeCell ref="R208:R209"/>
    <mergeCell ref="S208:S209"/>
    <mergeCell ref="T208:T209"/>
    <mergeCell ref="D204:D205"/>
    <mergeCell ref="J204:J205"/>
    <mergeCell ref="P204:P205"/>
    <mergeCell ref="V204:V205"/>
    <mergeCell ref="AB204:AB205"/>
    <mergeCell ref="AH204:AH205"/>
    <mergeCell ref="E204:E205"/>
    <mergeCell ref="F204:F205"/>
    <mergeCell ref="G204:G205"/>
    <mergeCell ref="D202:D203"/>
    <mergeCell ref="J202:J203"/>
    <mergeCell ref="P202:P203"/>
    <mergeCell ref="V202:V203"/>
    <mergeCell ref="AB202:AB203"/>
    <mergeCell ref="AH202:AH203"/>
    <mergeCell ref="E202:E203"/>
    <mergeCell ref="F202:F203"/>
    <mergeCell ref="G202:G203"/>
    <mergeCell ref="H202:H203"/>
    <mergeCell ref="K202:K203"/>
    <mergeCell ref="L202:L203"/>
    <mergeCell ref="M202:M203"/>
    <mergeCell ref="N202:N203"/>
    <mergeCell ref="K204:K205"/>
    <mergeCell ref="L204:L205"/>
    <mergeCell ref="M204:M205"/>
    <mergeCell ref="N204:N205"/>
    <mergeCell ref="J198:J199"/>
    <mergeCell ref="P198:P199"/>
    <mergeCell ref="V198:V199"/>
    <mergeCell ref="AB198:AB199"/>
    <mergeCell ref="AH198:AH199"/>
    <mergeCell ref="J200:J201"/>
    <mergeCell ref="P200:P201"/>
    <mergeCell ref="V200:V201"/>
    <mergeCell ref="AB200:AB201"/>
    <mergeCell ref="AH200:AH201"/>
    <mergeCell ref="D196:D197"/>
    <mergeCell ref="J196:J197"/>
    <mergeCell ref="P196:P197"/>
    <mergeCell ref="V196:V197"/>
    <mergeCell ref="AB196:AB197"/>
    <mergeCell ref="AH196:AH197"/>
    <mergeCell ref="M196:M197"/>
    <mergeCell ref="N196:N197"/>
    <mergeCell ref="W196:W197"/>
    <mergeCell ref="X196:X197"/>
    <mergeCell ref="M198:M199"/>
    <mergeCell ref="N198:N199"/>
    <mergeCell ref="K200:K201"/>
    <mergeCell ref="L200:L201"/>
    <mergeCell ref="M200:M201"/>
    <mergeCell ref="N200:N201"/>
    <mergeCell ref="Q196:Q197"/>
    <mergeCell ref="R196:R197"/>
    <mergeCell ref="S196:S197"/>
    <mergeCell ref="T196:T197"/>
    <mergeCell ref="Q198:Q199"/>
    <mergeCell ref="R198:R199"/>
    <mergeCell ref="AH190:AH191"/>
    <mergeCell ref="J192:J193"/>
    <mergeCell ref="P192:P193"/>
    <mergeCell ref="V192:V193"/>
    <mergeCell ref="AB192:AB193"/>
    <mergeCell ref="AH192:AH193"/>
    <mergeCell ref="J185:J186"/>
    <mergeCell ref="P185:P186"/>
    <mergeCell ref="V185:V186"/>
    <mergeCell ref="AB185:AB186"/>
    <mergeCell ref="AH185:AH186"/>
    <mergeCell ref="J187:J188"/>
    <mergeCell ref="P187:P188"/>
    <mergeCell ref="V187:V188"/>
    <mergeCell ref="AB187:AB188"/>
    <mergeCell ref="AH187:AH188"/>
    <mergeCell ref="AD185:AD186"/>
    <mergeCell ref="AE185:AE186"/>
    <mergeCell ref="AF185:AF186"/>
    <mergeCell ref="AD187:AD188"/>
    <mergeCell ref="AE187:AE188"/>
    <mergeCell ref="AF187:AF188"/>
    <mergeCell ref="AD190:AD191"/>
    <mergeCell ref="AE190:AE191"/>
    <mergeCell ref="AF190:AF191"/>
    <mergeCell ref="AD192:AD193"/>
    <mergeCell ref="AE192:AE193"/>
    <mergeCell ref="AF192:AF193"/>
    <mergeCell ref="AH181:AH182"/>
    <mergeCell ref="J183:J184"/>
    <mergeCell ref="P183:P184"/>
    <mergeCell ref="V183:V184"/>
    <mergeCell ref="AB183:AB184"/>
    <mergeCell ref="AH183:AH184"/>
    <mergeCell ref="J177:J178"/>
    <mergeCell ref="P177:P178"/>
    <mergeCell ref="V177:V178"/>
    <mergeCell ref="AB177:AB178"/>
    <mergeCell ref="AH177:AH178"/>
    <mergeCell ref="J179:J180"/>
    <mergeCell ref="P179:P180"/>
    <mergeCell ref="V179:V180"/>
    <mergeCell ref="AB179:AB180"/>
    <mergeCell ref="AH179:AH180"/>
    <mergeCell ref="AD177:AD178"/>
    <mergeCell ref="AE177:AE178"/>
    <mergeCell ref="AF177:AF178"/>
    <mergeCell ref="AD179:AD180"/>
    <mergeCell ref="AE179:AE180"/>
    <mergeCell ref="AF179:AF180"/>
    <mergeCell ref="AD181:AD182"/>
    <mergeCell ref="AE181:AE182"/>
    <mergeCell ref="AF181:AF182"/>
    <mergeCell ref="AD183:AD184"/>
    <mergeCell ref="AE183:AE184"/>
    <mergeCell ref="AF183:AF184"/>
    <mergeCell ref="AH173:AH174"/>
    <mergeCell ref="J175:J176"/>
    <mergeCell ref="P175:P176"/>
    <mergeCell ref="V175:V176"/>
    <mergeCell ref="AB175:AB176"/>
    <mergeCell ref="AH175:AH176"/>
    <mergeCell ref="J169:J170"/>
    <mergeCell ref="P169:P170"/>
    <mergeCell ref="V169:V170"/>
    <mergeCell ref="AB169:AB170"/>
    <mergeCell ref="AH169:AH170"/>
    <mergeCell ref="J171:J172"/>
    <mergeCell ref="P171:P172"/>
    <mergeCell ref="V171:V172"/>
    <mergeCell ref="AB171:AB172"/>
    <mergeCell ref="AH171:AH172"/>
    <mergeCell ref="W169:W170"/>
    <mergeCell ref="X169:X170"/>
    <mergeCell ref="Y169:Y170"/>
    <mergeCell ref="Z169:Z170"/>
    <mergeCell ref="AC169:AC170"/>
    <mergeCell ref="AD169:AD170"/>
    <mergeCell ref="AE169:AE170"/>
    <mergeCell ref="AF169:AF170"/>
    <mergeCell ref="AD171:AD172"/>
    <mergeCell ref="AE171:AE172"/>
    <mergeCell ref="AF171:AF172"/>
    <mergeCell ref="AD173:AD174"/>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AD161:AD162"/>
    <mergeCell ref="AE161:AE162"/>
    <mergeCell ref="AF161:AF162"/>
    <mergeCell ref="AD163:AD164"/>
    <mergeCell ref="AE163:AE164"/>
    <mergeCell ref="AF163:AF164"/>
    <mergeCell ref="AD165:AD166"/>
    <mergeCell ref="AE165:AE166"/>
    <mergeCell ref="AF165:AF166"/>
    <mergeCell ref="AD167:AD168"/>
    <mergeCell ref="AE167:AE168"/>
    <mergeCell ref="AF167:AF168"/>
    <mergeCell ref="AH157:AH158"/>
    <mergeCell ref="J159:J160"/>
    <mergeCell ref="P159:P160"/>
    <mergeCell ref="V159:V160"/>
    <mergeCell ref="AB159:AB160"/>
    <mergeCell ref="AH159:AH160"/>
    <mergeCell ref="J153:J154"/>
    <mergeCell ref="P153:P154"/>
    <mergeCell ref="V153:V154"/>
    <mergeCell ref="AB153:AB154"/>
    <mergeCell ref="AH153:AH154"/>
    <mergeCell ref="J155:J156"/>
    <mergeCell ref="P155:P156"/>
    <mergeCell ref="V155:V156"/>
    <mergeCell ref="AB155:AB156"/>
    <mergeCell ref="AH155:AH156"/>
    <mergeCell ref="AD153:AD154"/>
    <mergeCell ref="AE153:AE154"/>
    <mergeCell ref="AF153:AF154"/>
    <mergeCell ref="AD155:AD156"/>
    <mergeCell ref="AE155:AE156"/>
    <mergeCell ref="AF155:AF156"/>
    <mergeCell ref="AD157:AD158"/>
    <mergeCell ref="AE157:AE158"/>
    <mergeCell ref="AF157:AF158"/>
    <mergeCell ref="AD159:AD160"/>
    <mergeCell ref="AE159:AE160"/>
    <mergeCell ref="AF159:AF160"/>
    <mergeCell ref="J148:J149"/>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AG141:AG142"/>
    <mergeCell ref="Y146:Y147"/>
    <mergeCell ref="Z146:Z147"/>
    <mergeCell ref="AA146:AA147"/>
    <mergeCell ref="AC146:AC147"/>
    <mergeCell ref="AD146:AD147"/>
    <mergeCell ref="AE146:AE147"/>
    <mergeCell ref="AF146:AF147"/>
    <mergeCell ref="AG146:AG147"/>
    <mergeCell ref="Y148:Y149"/>
    <mergeCell ref="Z148:Z149"/>
    <mergeCell ref="AA148:AA149"/>
    <mergeCell ref="J137:J138"/>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Y133:Y134"/>
    <mergeCell ref="Z133:Z134"/>
    <mergeCell ref="AA133:AA134"/>
    <mergeCell ref="AC133:AC134"/>
    <mergeCell ref="AD133:AD134"/>
    <mergeCell ref="AE133:AE134"/>
    <mergeCell ref="AF133:AF134"/>
    <mergeCell ref="AG133:AG134"/>
    <mergeCell ref="Y135:Y136"/>
    <mergeCell ref="Z135:Z136"/>
    <mergeCell ref="AA135:AA136"/>
    <mergeCell ref="AC135:AC136"/>
    <mergeCell ref="AH129:AH130"/>
    <mergeCell ref="J131:J132"/>
    <mergeCell ref="P131:P132"/>
    <mergeCell ref="V131:V132"/>
    <mergeCell ref="AB131:AB132"/>
    <mergeCell ref="AH131:AH132"/>
    <mergeCell ref="V122:V123"/>
    <mergeCell ref="AB122:AB123"/>
    <mergeCell ref="AH122:AH123"/>
    <mergeCell ref="J127:J128"/>
    <mergeCell ref="P127:P128"/>
    <mergeCell ref="V127:V128"/>
    <mergeCell ref="AB127:AB128"/>
    <mergeCell ref="AH127:AH128"/>
    <mergeCell ref="V118:V119"/>
    <mergeCell ref="AB118:AB119"/>
    <mergeCell ref="AH118:AH119"/>
    <mergeCell ref="J120:J121"/>
    <mergeCell ref="P120:P121"/>
    <mergeCell ref="V120:V121"/>
    <mergeCell ref="AB120:AB121"/>
    <mergeCell ref="AH120:AH121"/>
    <mergeCell ref="L127:L128"/>
    <mergeCell ref="M127:M128"/>
    <mergeCell ref="N127:N128"/>
    <mergeCell ref="O127:O128"/>
    <mergeCell ref="Q127:Q128"/>
    <mergeCell ref="R127:R128"/>
    <mergeCell ref="S127:S128"/>
    <mergeCell ref="T127:T128"/>
    <mergeCell ref="U127:U128"/>
    <mergeCell ref="W127:W128"/>
    <mergeCell ref="V114:V115"/>
    <mergeCell ref="AB114:AB115"/>
    <mergeCell ref="AH114:AH115"/>
    <mergeCell ref="J116:J117"/>
    <mergeCell ref="P116:P117"/>
    <mergeCell ref="V116:V117"/>
    <mergeCell ref="AB116:AB117"/>
    <mergeCell ref="AH116:AH117"/>
    <mergeCell ref="V110:V111"/>
    <mergeCell ref="AB110:AB111"/>
    <mergeCell ref="AH110:AH111"/>
    <mergeCell ref="J112:J113"/>
    <mergeCell ref="P112:P113"/>
    <mergeCell ref="V112:V113"/>
    <mergeCell ref="AB112:AB113"/>
    <mergeCell ref="AH112:AH113"/>
    <mergeCell ref="V104:V105"/>
    <mergeCell ref="AB104:AB105"/>
    <mergeCell ref="AH104:AH105"/>
    <mergeCell ref="J106:J107"/>
    <mergeCell ref="P106:P107"/>
    <mergeCell ref="V106:V107"/>
    <mergeCell ref="AB106:AB107"/>
    <mergeCell ref="AH106:AH107"/>
    <mergeCell ref="AD106:AD107"/>
    <mergeCell ref="AE106:AE107"/>
    <mergeCell ref="AF106:AF107"/>
    <mergeCell ref="Z110:Z111"/>
    <mergeCell ref="AC110:AC111"/>
    <mergeCell ref="AD110:AD111"/>
    <mergeCell ref="AE110:AE111"/>
    <mergeCell ref="AF110:AF11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R96:R97"/>
    <mergeCell ref="S96:S97"/>
    <mergeCell ref="T96:T97"/>
    <mergeCell ref="E98:E99"/>
    <mergeCell ref="F98:F99"/>
    <mergeCell ref="G98:G99"/>
    <mergeCell ref="H98:H99"/>
    <mergeCell ref="K98:K99"/>
    <mergeCell ref="L98:L99"/>
    <mergeCell ref="M98:M99"/>
    <mergeCell ref="N98:N99"/>
    <mergeCell ref="Q98:Q99"/>
    <mergeCell ref="R98:R99"/>
    <mergeCell ref="S98:S99"/>
    <mergeCell ref="T98:T99"/>
    <mergeCell ref="W98:W99"/>
    <mergeCell ref="X98:X99"/>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78:AD79"/>
    <mergeCell ref="AE78:AE79"/>
    <mergeCell ref="AF78:AF79"/>
    <mergeCell ref="AD83:AD84"/>
    <mergeCell ref="AE83:AE84"/>
    <mergeCell ref="AF83:AF84"/>
    <mergeCell ref="AD85:AD86"/>
    <mergeCell ref="AE85:AE86"/>
    <mergeCell ref="AF85:AF86"/>
    <mergeCell ref="AD87:AD88"/>
    <mergeCell ref="AE87:AE88"/>
    <mergeCell ref="AF87:AF88"/>
    <mergeCell ref="B80:AH80"/>
    <mergeCell ref="D74:D75"/>
    <mergeCell ref="J74:J75"/>
    <mergeCell ref="P74:P75"/>
    <mergeCell ref="V74:V75"/>
    <mergeCell ref="AB74:AB75"/>
    <mergeCell ref="AH74:AH75"/>
    <mergeCell ref="N74:N75"/>
    <mergeCell ref="Q74:Q75"/>
    <mergeCell ref="R74:R75"/>
    <mergeCell ref="S74:S75"/>
    <mergeCell ref="D71:D72"/>
    <mergeCell ref="J71:J72"/>
    <mergeCell ref="P71:P72"/>
    <mergeCell ref="V71:V72"/>
    <mergeCell ref="AB71:AB72"/>
    <mergeCell ref="AH71:AH72"/>
    <mergeCell ref="N71:N72"/>
    <mergeCell ref="Q71:Q72"/>
    <mergeCell ref="R71:R72"/>
    <mergeCell ref="S71:S72"/>
    <mergeCell ref="E71:E72"/>
    <mergeCell ref="F71:F72"/>
    <mergeCell ref="G71:G72"/>
    <mergeCell ref="H71:H72"/>
    <mergeCell ref="K71:K72"/>
    <mergeCell ref="L71:L72"/>
    <mergeCell ref="M71:M72"/>
    <mergeCell ref="T71:T72"/>
    <mergeCell ref="W71:W72"/>
    <mergeCell ref="X71:X72"/>
    <mergeCell ref="Y71:Y72"/>
    <mergeCell ref="Z71:Z72"/>
    <mergeCell ref="D69:D70"/>
    <mergeCell ref="J69:J70"/>
    <mergeCell ref="P69:P70"/>
    <mergeCell ref="V69:V70"/>
    <mergeCell ref="AB69:AB70"/>
    <mergeCell ref="AH69:AH70"/>
    <mergeCell ref="N69:N70"/>
    <mergeCell ref="Q69:Q70"/>
    <mergeCell ref="R69:R70"/>
    <mergeCell ref="S69:S70"/>
    <mergeCell ref="D67:D68"/>
    <mergeCell ref="J67:J68"/>
    <mergeCell ref="P67:P68"/>
    <mergeCell ref="V67:V68"/>
    <mergeCell ref="AB67:AB68"/>
    <mergeCell ref="AH67:AH68"/>
    <mergeCell ref="N67:N68"/>
    <mergeCell ref="Q67:Q68"/>
    <mergeCell ref="R67:R68"/>
    <mergeCell ref="S67:S68"/>
    <mergeCell ref="E67:E68"/>
    <mergeCell ref="F67:F68"/>
    <mergeCell ref="G67:G68"/>
    <mergeCell ref="H67:H68"/>
    <mergeCell ref="K67:K68"/>
    <mergeCell ref="L67:L68"/>
    <mergeCell ref="M67:M68"/>
    <mergeCell ref="T67:T68"/>
    <mergeCell ref="W67:W68"/>
    <mergeCell ref="X67:X68"/>
    <mergeCell ref="Y67:Y68"/>
    <mergeCell ref="Z67:Z68"/>
    <mergeCell ref="D65:D66"/>
    <mergeCell ref="J65:J66"/>
    <mergeCell ref="P65:P66"/>
    <mergeCell ref="V65:V66"/>
    <mergeCell ref="AB65:AB66"/>
    <mergeCell ref="AH65:AH66"/>
    <mergeCell ref="N65:N66"/>
    <mergeCell ref="Q65:Q66"/>
    <mergeCell ref="R65:R66"/>
    <mergeCell ref="S65:S66"/>
    <mergeCell ref="D63:D64"/>
    <mergeCell ref="J63:J64"/>
    <mergeCell ref="P63:P64"/>
    <mergeCell ref="V63:V64"/>
    <mergeCell ref="AB63:AB64"/>
    <mergeCell ref="AH63:AH64"/>
    <mergeCell ref="N63:N64"/>
    <mergeCell ref="Q63:Q64"/>
    <mergeCell ref="R63:R64"/>
    <mergeCell ref="S63:S64"/>
    <mergeCell ref="E63:E64"/>
    <mergeCell ref="F63:F64"/>
    <mergeCell ref="G63:G64"/>
    <mergeCell ref="H63:H64"/>
    <mergeCell ref="K63:K64"/>
    <mergeCell ref="L63:L64"/>
    <mergeCell ref="M63:M64"/>
    <mergeCell ref="T63:T64"/>
    <mergeCell ref="W63:W64"/>
    <mergeCell ref="X63:X64"/>
    <mergeCell ref="Y63:Y64"/>
    <mergeCell ref="Z63:Z64"/>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H56:AH57"/>
    <mergeCell ref="D54:D55"/>
    <mergeCell ref="I54:I55"/>
    <mergeCell ref="J54:J55"/>
    <mergeCell ref="P54:P55"/>
    <mergeCell ref="V54:V55"/>
    <mergeCell ref="AB54:AB55"/>
    <mergeCell ref="Q54:Q55"/>
    <mergeCell ref="R54:R55"/>
    <mergeCell ref="E56:E57"/>
    <mergeCell ref="F56:F57"/>
    <mergeCell ref="G56:G57"/>
    <mergeCell ref="AH50:AH51"/>
    <mergeCell ref="D52:D53"/>
    <mergeCell ref="I52:I53"/>
    <mergeCell ref="J52:J53"/>
    <mergeCell ref="P52:P53"/>
    <mergeCell ref="V52:V53"/>
    <mergeCell ref="AB52:AB53"/>
    <mergeCell ref="AH52:AH53"/>
    <mergeCell ref="D50:D51"/>
    <mergeCell ref="I50:I51"/>
    <mergeCell ref="AH46:AH47"/>
    <mergeCell ref="D48:D49"/>
    <mergeCell ref="I48:I49"/>
    <mergeCell ref="J48:J49"/>
    <mergeCell ref="P48:P49"/>
    <mergeCell ref="V48:V49"/>
    <mergeCell ref="E46:E47"/>
    <mergeCell ref="F46:F47"/>
    <mergeCell ref="J50:J51"/>
    <mergeCell ref="P50:P51"/>
    <mergeCell ref="V50:V51"/>
    <mergeCell ref="AB50:AB51"/>
    <mergeCell ref="E48:E49"/>
    <mergeCell ref="F48:F49"/>
    <mergeCell ref="G48:G49"/>
    <mergeCell ref="H48:H49"/>
    <mergeCell ref="K48:K49"/>
    <mergeCell ref="L48:L49"/>
    <mergeCell ref="M48:M49"/>
    <mergeCell ref="N48:N49"/>
    <mergeCell ref="Q48:Q49"/>
    <mergeCell ref="R48:R49"/>
    <mergeCell ref="AH44:AH45"/>
    <mergeCell ref="D42:D43"/>
    <mergeCell ref="I42:I43"/>
    <mergeCell ref="AB48:AB49"/>
    <mergeCell ref="AH48:AH49"/>
    <mergeCell ref="D46:D47"/>
    <mergeCell ref="I46:I47"/>
    <mergeCell ref="J46:J47"/>
    <mergeCell ref="P46:P47"/>
    <mergeCell ref="V46:V47"/>
    <mergeCell ref="D44:D45"/>
    <mergeCell ref="I44:I45"/>
    <mergeCell ref="J44:J45"/>
    <mergeCell ref="P44:P45"/>
    <mergeCell ref="V44:V45"/>
    <mergeCell ref="AB44:AB45"/>
    <mergeCell ref="D40:D41"/>
    <mergeCell ref="I40:I41"/>
    <mergeCell ref="J40:J41"/>
    <mergeCell ref="P40:P41"/>
    <mergeCell ref="V40:V41"/>
    <mergeCell ref="AH42:AH43"/>
    <mergeCell ref="N40:N41"/>
    <mergeCell ref="J42:J43"/>
    <mergeCell ref="P42:P43"/>
    <mergeCell ref="V42:V43"/>
    <mergeCell ref="AB42:AB43"/>
    <mergeCell ref="X40:X41"/>
    <mergeCell ref="Y40:Y41"/>
    <mergeCell ref="Z40:Z41"/>
    <mergeCell ref="AC40:AC41"/>
    <mergeCell ref="AD40:AD41"/>
    <mergeCell ref="AH37:AH38"/>
    <mergeCell ref="AH35:AH36"/>
    <mergeCell ref="AB40:AB41"/>
    <mergeCell ref="AH40:AH41"/>
    <mergeCell ref="D37:D38"/>
    <mergeCell ref="J37:J38"/>
    <mergeCell ref="O37:O38"/>
    <mergeCell ref="P37:P38"/>
    <mergeCell ref="V37:V38"/>
    <mergeCell ref="AB37:AB38"/>
    <mergeCell ref="M40:M41"/>
    <mergeCell ref="S33:S34"/>
    <mergeCell ref="AB33:AB34"/>
    <mergeCell ref="AH33:AH34"/>
    <mergeCell ref="D35:D36"/>
    <mergeCell ref="I35:I36"/>
    <mergeCell ref="J35:J36"/>
    <mergeCell ref="O35:O36"/>
    <mergeCell ref="P35:P36"/>
    <mergeCell ref="V35:V36"/>
    <mergeCell ref="AB35:AB36"/>
    <mergeCell ref="E40:E41"/>
    <mergeCell ref="F40:F41"/>
    <mergeCell ref="G40:G41"/>
    <mergeCell ref="H40:H41"/>
    <mergeCell ref="K40:K41"/>
    <mergeCell ref="L40:L41"/>
    <mergeCell ref="Q40:Q41"/>
    <mergeCell ref="R40:R41"/>
    <mergeCell ref="S40:S41"/>
    <mergeCell ref="T40:T41"/>
    <mergeCell ref="W40:W41"/>
    <mergeCell ref="AH31:AH32"/>
    <mergeCell ref="D33:D34"/>
    <mergeCell ref="I33:I34"/>
    <mergeCell ref="J33:J34"/>
    <mergeCell ref="O33:O34"/>
    <mergeCell ref="P33:P34"/>
    <mergeCell ref="V33:V34"/>
    <mergeCell ref="N33:N34"/>
    <mergeCell ref="Q33:Q34"/>
    <mergeCell ref="R33:R34"/>
    <mergeCell ref="Q29:Q30"/>
    <mergeCell ref="AB29:AB30"/>
    <mergeCell ref="AH29:AH30"/>
    <mergeCell ref="D31:D32"/>
    <mergeCell ref="I31:I32"/>
    <mergeCell ref="J31:J32"/>
    <mergeCell ref="O31:O32"/>
    <mergeCell ref="P31:P32"/>
    <mergeCell ref="V31:V32"/>
    <mergeCell ref="AB31:AB32"/>
    <mergeCell ref="E31:E32"/>
    <mergeCell ref="F31:F32"/>
    <mergeCell ref="G31:G32"/>
    <mergeCell ref="H31:H32"/>
    <mergeCell ref="K31:K32"/>
    <mergeCell ref="L31:L32"/>
    <mergeCell ref="M31:M32"/>
    <mergeCell ref="N31:N32"/>
    <mergeCell ref="Q31:Q32"/>
    <mergeCell ref="R31:R32"/>
    <mergeCell ref="S31:S32"/>
    <mergeCell ref="T31:T32"/>
    <mergeCell ref="AH27:AH28"/>
    <mergeCell ref="D29:D30"/>
    <mergeCell ref="I29:I30"/>
    <mergeCell ref="J29:J30"/>
    <mergeCell ref="O29:O30"/>
    <mergeCell ref="P29:P30"/>
    <mergeCell ref="V29:V30"/>
    <mergeCell ref="L29:L30"/>
    <mergeCell ref="M29:M30"/>
    <mergeCell ref="N29:N30"/>
    <mergeCell ref="S25:S26"/>
    <mergeCell ref="AB25:AB26"/>
    <mergeCell ref="AH25:AH26"/>
    <mergeCell ref="D27:D28"/>
    <mergeCell ref="I27:I28"/>
    <mergeCell ref="J27:J28"/>
    <mergeCell ref="O27:O28"/>
    <mergeCell ref="P27:P28"/>
    <mergeCell ref="V27:V28"/>
    <mergeCell ref="AB27:AB28"/>
    <mergeCell ref="E27:E28"/>
    <mergeCell ref="F27:F28"/>
    <mergeCell ref="G27:G28"/>
    <mergeCell ref="H27:H28"/>
    <mergeCell ref="K27:K28"/>
    <mergeCell ref="L27:L28"/>
    <mergeCell ref="M27:M28"/>
    <mergeCell ref="N27:N28"/>
    <mergeCell ref="Q27:Q28"/>
    <mergeCell ref="R27:R28"/>
    <mergeCell ref="S27:S28"/>
    <mergeCell ref="T27:T28"/>
    <mergeCell ref="AH23:AH24"/>
    <mergeCell ref="D25:D26"/>
    <mergeCell ref="I25:I26"/>
    <mergeCell ref="J25:J26"/>
    <mergeCell ref="O25:O26"/>
    <mergeCell ref="P25:P26"/>
    <mergeCell ref="V25:V26"/>
    <mergeCell ref="N25:N26"/>
    <mergeCell ref="Q25:Q26"/>
    <mergeCell ref="R25:R26"/>
    <mergeCell ref="N21:N22"/>
    <mergeCell ref="Q21:Q22"/>
    <mergeCell ref="AB21:AB22"/>
    <mergeCell ref="AH21:AH22"/>
    <mergeCell ref="D23:D24"/>
    <mergeCell ref="I23:I24"/>
    <mergeCell ref="J23:J24"/>
    <mergeCell ref="O23:O24"/>
    <mergeCell ref="P23:P24"/>
    <mergeCell ref="V23:V24"/>
    <mergeCell ref="E23:E24"/>
    <mergeCell ref="F23:F24"/>
    <mergeCell ref="G23:G24"/>
    <mergeCell ref="H23:H24"/>
    <mergeCell ref="K23:K24"/>
    <mergeCell ref="L23:L24"/>
    <mergeCell ref="M23:M24"/>
    <mergeCell ref="N23:N24"/>
    <mergeCell ref="Q23:Q24"/>
    <mergeCell ref="R23:R24"/>
    <mergeCell ref="S23:S24"/>
    <mergeCell ref="T23:T24"/>
    <mergeCell ref="AH19:AH20"/>
    <mergeCell ref="D21:D22"/>
    <mergeCell ref="I21:I22"/>
    <mergeCell ref="J21:J22"/>
    <mergeCell ref="O21:O22"/>
    <mergeCell ref="P21:P22"/>
    <mergeCell ref="V21:V22"/>
    <mergeCell ref="L21:L22"/>
    <mergeCell ref="M21:M22"/>
    <mergeCell ref="D19:D20"/>
    <mergeCell ref="I19:I20"/>
    <mergeCell ref="J19:J20"/>
    <mergeCell ref="O19:O20"/>
    <mergeCell ref="P19:P20"/>
    <mergeCell ref="V19:V20"/>
    <mergeCell ref="AH15:AH16"/>
    <mergeCell ref="D17:D18"/>
    <mergeCell ref="I17:I18"/>
    <mergeCell ref="J17:J18"/>
    <mergeCell ref="O17:O18"/>
    <mergeCell ref="P17:P18"/>
    <mergeCell ref="V17:V18"/>
    <mergeCell ref="AB17:AB18"/>
    <mergeCell ref="AH17:AH18"/>
    <mergeCell ref="AG15:AG16"/>
    <mergeCell ref="N17:N18"/>
    <mergeCell ref="Q17:Q18"/>
    <mergeCell ref="R17:R18"/>
    <mergeCell ref="S17:S18"/>
    <mergeCell ref="T17:T18"/>
    <mergeCell ref="U17:U18"/>
    <mergeCell ref="AC10:AG10"/>
    <mergeCell ref="E11:J11"/>
    <mergeCell ref="K11:O11"/>
    <mergeCell ref="Q11:U11"/>
    <mergeCell ref="W11:AA11"/>
    <mergeCell ref="AC11:AG11"/>
    <mergeCell ref="Y5:Y6"/>
    <mergeCell ref="E10:I10"/>
    <mergeCell ref="K10:P10"/>
    <mergeCell ref="Q10:V10"/>
    <mergeCell ref="W10:AA10"/>
    <mergeCell ref="D15:D16"/>
    <mergeCell ref="I15:I16"/>
    <mergeCell ref="J15:J16"/>
    <mergeCell ref="O15:O16"/>
    <mergeCell ref="P15:P16"/>
    <mergeCell ref="B152:C152"/>
    <mergeCell ref="B89:B94"/>
    <mergeCell ref="C89:C90"/>
    <mergeCell ref="C91:C92"/>
    <mergeCell ref="B83:B88"/>
    <mergeCell ref="B118:B123"/>
    <mergeCell ref="C116:C117"/>
    <mergeCell ref="B110:C111"/>
    <mergeCell ref="B40:B45"/>
    <mergeCell ref="C42:C43"/>
    <mergeCell ref="C25:C26"/>
    <mergeCell ref="C31:C32"/>
    <mergeCell ref="B27:B32"/>
    <mergeCell ref="D78:D79"/>
    <mergeCell ref="D83:D84"/>
    <mergeCell ref="D85:D86"/>
    <mergeCell ref="C131:C132"/>
    <mergeCell ref="C125:C126"/>
    <mergeCell ref="B125:B130"/>
    <mergeCell ref="C173:C174"/>
    <mergeCell ref="C181:C182"/>
    <mergeCell ref="B165:B170"/>
    <mergeCell ref="C141:C142"/>
    <mergeCell ref="B81:C81"/>
    <mergeCell ref="B131:B136"/>
    <mergeCell ref="C120:C121"/>
    <mergeCell ref="C112:C113"/>
    <mergeCell ref="C135:C136"/>
    <mergeCell ref="C133:C134"/>
    <mergeCell ref="C87:C88"/>
    <mergeCell ref="C146:C147"/>
    <mergeCell ref="B78:C79"/>
    <mergeCell ref="C106:C107"/>
    <mergeCell ref="C96:C97"/>
    <mergeCell ref="B159:B164"/>
    <mergeCell ref="C171:C172"/>
    <mergeCell ref="C148:C149"/>
    <mergeCell ref="B95:C95"/>
    <mergeCell ref="C114:C115"/>
    <mergeCell ref="B171:B176"/>
    <mergeCell ref="C175:C176"/>
    <mergeCell ref="C137:C138"/>
    <mergeCell ref="B153:B158"/>
    <mergeCell ref="B213:C214"/>
    <mergeCell ref="B215:C216"/>
    <mergeCell ref="B217:C218"/>
    <mergeCell ref="A196:A211"/>
    <mergeCell ref="C245:C246"/>
    <mergeCell ref="A15:A38"/>
    <mergeCell ref="B33:B38"/>
    <mergeCell ref="C33:C34"/>
    <mergeCell ref="C35:C36"/>
    <mergeCell ref="C37:C38"/>
    <mergeCell ref="B243:B248"/>
    <mergeCell ref="B183:B188"/>
    <mergeCell ref="B177:B182"/>
    <mergeCell ref="B198:C199"/>
    <mergeCell ref="B230:C231"/>
    <mergeCell ref="B232:C233"/>
    <mergeCell ref="C150:C151"/>
    <mergeCell ref="C157:C158"/>
    <mergeCell ref="C165:C166"/>
    <mergeCell ref="C177:C178"/>
    <mergeCell ref="C179:C180"/>
    <mergeCell ref="C206:C207"/>
    <mergeCell ref="C204:C205"/>
    <mergeCell ref="B210:C211"/>
    <mergeCell ref="B146:B151"/>
    <mergeCell ref="C247:C248"/>
    <mergeCell ref="C187:C188"/>
    <mergeCell ref="B190:C191"/>
    <mergeCell ref="A190:A193"/>
    <mergeCell ref="C127:C128"/>
    <mergeCell ref="B112:B117"/>
    <mergeCell ref="C183:C184"/>
    <mergeCell ref="A59:A72"/>
    <mergeCell ref="A74:A79"/>
    <mergeCell ref="B96:B101"/>
    <mergeCell ref="A82:A107"/>
    <mergeCell ref="B61:C62"/>
    <mergeCell ref="B63:C64"/>
    <mergeCell ref="C118:C119"/>
    <mergeCell ref="C122:C123"/>
    <mergeCell ref="C93:C94"/>
    <mergeCell ref="A109:A122"/>
    <mergeCell ref="B109:C109"/>
    <mergeCell ref="C153:C154"/>
    <mergeCell ref="C249:C250"/>
    <mergeCell ref="C251:C252"/>
    <mergeCell ref="B249:B254"/>
    <mergeCell ref="B200:C201"/>
    <mergeCell ref="B208:C209"/>
    <mergeCell ref="B228:C229"/>
    <mergeCell ref="C239:C240"/>
    <mergeCell ref="B202:B207"/>
    <mergeCell ref="C202:C203"/>
    <mergeCell ref="C253:C254"/>
    <mergeCell ref="A222:A223"/>
    <mergeCell ref="B222:B223"/>
    <mergeCell ref="C222:C223"/>
    <mergeCell ref="A226:A235"/>
    <mergeCell ref="B236:C236"/>
    <mergeCell ref="B234:C235"/>
    <mergeCell ref="A237:A254"/>
    <mergeCell ref="B237:B242"/>
    <mergeCell ref="C241:C242"/>
    <mergeCell ref="A213:A218"/>
    <mergeCell ref="A4:C4"/>
    <mergeCell ref="A7:C7"/>
    <mergeCell ref="C85:C86"/>
    <mergeCell ref="C83:C84"/>
    <mergeCell ref="C98:C99"/>
    <mergeCell ref="B102:B107"/>
    <mergeCell ref="C102:C103"/>
    <mergeCell ref="C104:C105"/>
    <mergeCell ref="C100:C101"/>
    <mergeCell ref="B69:C70"/>
    <mergeCell ref="C19:C20"/>
    <mergeCell ref="C29:C30"/>
    <mergeCell ref="B67:C68"/>
    <mergeCell ref="C23:C24"/>
    <mergeCell ref="C50:C51"/>
    <mergeCell ref="C52:C53"/>
    <mergeCell ref="B71:C72"/>
    <mergeCell ref="C27:C28"/>
    <mergeCell ref="B76:C76"/>
    <mergeCell ref="B77:C77"/>
    <mergeCell ref="B21:B26"/>
    <mergeCell ref="B15:B20"/>
    <mergeCell ref="C15:C16"/>
    <mergeCell ref="C54:C55"/>
    <mergeCell ref="C17:C18"/>
    <mergeCell ref="B65:C66"/>
    <mergeCell ref="B74:C75"/>
    <mergeCell ref="C56:C57"/>
    <mergeCell ref="B10:B12"/>
    <mergeCell ref="C10:C12"/>
    <mergeCell ref="C21:C22"/>
    <mergeCell ref="C40:C41"/>
    <mergeCell ref="B192:C193"/>
    <mergeCell ref="B225:C225"/>
    <mergeCell ref="B196:C197"/>
    <mergeCell ref="A40:A57"/>
    <mergeCell ref="C44:C45"/>
    <mergeCell ref="B52:B57"/>
    <mergeCell ref="B46:B51"/>
    <mergeCell ref="C46:C47"/>
    <mergeCell ref="C48:C49"/>
    <mergeCell ref="B39:C39"/>
    <mergeCell ref="B58:C58"/>
    <mergeCell ref="B59:C60"/>
    <mergeCell ref="B108:C108"/>
    <mergeCell ref="C243:C244"/>
    <mergeCell ref="B226:C227"/>
    <mergeCell ref="C163:C164"/>
    <mergeCell ref="C161:C162"/>
    <mergeCell ref="C159:C160"/>
    <mergeCell ref="C155:C156"/>
    <mergeCell ref="B189:C189"/>
    <mergeCell ref="C185:C186"/>
    <mergeCell ref="A153:A170"/>
    <mergeCell ref="C169:C170"/>
    <mergeCell ref="A125:A150"/>
    <mergeCell ref="C167:C168"/>
    <mergeCell ref="C129:C130"/>
    <mergeCell ref="A171:A176"/>
    <mergeCell ref="A177:A182"/>
    <mergeCell ref="A183:A188"/>
    <mergeCell ref="C139:C140"/>
    <mergeCell ref="B143:B145"/>
    <mergeCell ref="B137:B142"/>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B124:AH124"/>
    <mergeCell ref="E125:E126"/>
    <mergeCell ref="F125:F126"/>
    <mergeCell ref="G125:G126"/>
    <mergeCell ref="AD125:AD126"/>
    <mergeCell ref="AE125:AE126"/>
    <mergeCell ref="AF125:AF126"/>
    <mergeCell ref="AG125:AG126"/>
    <mergeCell ref="AH125:AH126"/>
    <mergeCell ref="E127:E128"/>
    <mergeCell ref="F127:F128"/>
    <mergeCell ref="G127:G128"/>
    <mergeCell ref="H127:H128"/>
    <mergeCell ref="I127:I128"/>
    <mergeCell ref="K127:K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79:D180"/>
    <mergeCell ref="D157:D158"/>
    <mergeCell ref="D159:D160"/>
    <mergeCell ref="D161:D162"/>
    <mergeCell ref="D163:D164"/>
    <mergeCell ref="D165:D166"/>
    <mergeCell ref="D167:D168"/>
    <mergeCell ref="D183:D184"/>
    <mergeCell ref="D185:D186"/>
    <mergeCell ref="D187:D188"/>
    <mergeCell ref="D190:D191"/>
    <mergeCell ref="D247:D248"/>
    <mergeCell ref="D169:D170"/>
    <mergeCell ref="D171:D172"/>
    <mergeCell ref="D173:D174"/>
    <mergeCell ref="D175:D176"/>
    <mergeCell ref="D177:D178"/>
    <mergeCell ref="D249:D250"/>
    <mergeCell ref="D251:D252"/>
    <mergeCell ref="D253:D254"/>
    <mergeCell ref="D192:D193"/>
    <mergeCell ref="D237:D238"/>
    <mergeCell ref="D239:D240"/>
    <mergeCell ref="D241:D242"/>
    <mergeCell ref="D243:D244"/>
    <mergeCell ref="D245:D246"/>
    <mergeCell ref="B212:AH212"/>
    <mergeCell ref="E169:E170"/>
    <mergeCell ref="F169:F170"/>
    <mergeCell ref="G169:G170"/>
    <mergeCell ref="H169:H170"/>
    <mergeCell ref="K169:K170"/>
    <mergeCell ref="L169:L170"/>
    <mergeCell ref="M169:M170"/>
    <mergeCell ref="N169:N170"/>
    <mergeCell ref="Q169:Q170"/>
    <mergeCell ref="R169:R170"/>
    <mergeCell ref="S169:S170"/>
    <mergeCell ref="T169:T170"/>
    <mergeCell ref="A5:B5"/>
    <mergeCell ref="A6:B6"/>
    <mergeCell ref="D198:D199"/>
    <mergeCell ref="D208:D209"/>
    <mergeCell ref="A2:O2"/>
    <mergeCell ref="A3:N3"/>
    <mergeCell ref="A8:R8"/>
    <mergeCell ref="B194:AH194"/>
    <mergeCell ref="B195:AH195"/>
    <mergeCell ref="D181:D182"/>
    <mergeCell ref="H125:H126"/>
    <mergeCell ref="I125:I126"/>
    <mergeCell ref="J125:J12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Y125:Y126"/>
    <mergeCell ref="Z125:Z126"/>
    <mergeCell ref="AA125:AA126"/>
    <mergeCell ref="AB125:AB126"/>
    <mergeCell ref="AC125:AC126"/>
    <mergeCell ref="X127:X128"/>
    <mergeCell ref="Y127:Y128"/>
    <mergeCell ref="Z127:Z128"/>
    <mergeCell ref="AA127:AA128"/>
    <mergeCell ref="AC127:AC128"/>
    <mergeCell ref="AD127:AD128"/>
    <mergeCell ref="AE127:AE128"/>
    <mergeCell ref="AF127:AF128"/>
    <mergeCell ref="AG127:AG128"/>
    <mergeCell ref="E129:E130"/>
    <mergeCell ref="F129:F130"/>
    <mergeCell ref="G129:G130"/>
    <mergeCell ref="H129:H130"/>
    <mergeCell ref="I129:I130"/>
    <mergeCell ref="K129:K130"/>
    <mergeCell ref="J129:J130"/>
    <mergeCell ref="L129:L130"/>
    <mergeCell ref="M129:M130"/>
    <mergeCell ref="N129:N130"/>
    <mergeCell ref="O129:O130"/>
    <mergeCell ref="Q129:Q130"/>
    <mergeCell ref="R129:R130"/>
    <mergeCell ref="P129:P130"/>
    <mergeCell ref="S129:S130"/>
    <mergeCell ref="T129:T130"/>
    <mergeCell ref="U129:U130"/>
    <mergeCell ref="W129:W130"/>
    <mergeCell ref="X129:X130"/>
    <mergeCell ref="Y129:Y130"/>
    <mergeCell ref="V129:V130"/>
    <mergeCell ref="Z129:Z130"/>
    <mergeCell ref="AA129:AA130"/>
    <mergeCell ref="AC129:AC130"/>
    <mergeCell ref="AD129:AD130"/>
    <mergeCell ref="AE129:AE130"/>
    <mergeCell ref="AF129:AF130"/>
    <mergeCell ref="AB129:AB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AG137:AG138"/>
    <mergeCell ref="E135:E136"/>
    <mergeCell ref="F135:F136"/>
    <mergeCell ref="G135:G136"/>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Y141:Y142"/>
    <mergeCell ref="Z141:Z142"/>
    <mergeCell ref="AA141:AA142"/>
    <mergeCell ref="AC141:AC142"/>
    <mergeCell ref="AD141:AD142"/>
    <mergeCell ref="AE141:AE142"/>
    <mergeCell ref="AF141:AF142"/>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AC148:AC149"/>
    <mergeCell ref="AD148:AD149"/>
    <mergeCell ref="AE148:AE149"/>
    <mergeCell ref="AF148:AF149"/>
    <mergeCell ref="AG148:AG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AG150:AG151"/>
    <mergeCell ref="E148:E149"/>
    <mergeCell ref="F148:F149"/>
    <mergeCell ref="AE40:AE41"/>
    <mergeCell ref="AF40:AF41"/>
    <mergeCell ref="E42:E43"/>
    <mergeCell ref="F42:F43"/>
    <mergeCell ref="G42:G43"/>
    <mergeCell ref="H42:H43"/>
    <mergeCell ref="K42:K43"/>
    <mergeCell ref="L42:L43"/>
    <mergeCell ref="M42:M43"/>
    <mergeCell ref="N42:N43"/>
    <mergeCell ref="Q42:Q43"/>
    <mergeCell ref="R42:R43"/>
    <mergeCell ref="S42:S43"/>
    <mergeCell ref="T42:T43"/>
    <mergeCell ref="W42:W43"/>
    <mergeCell ref="X42:X43"/>
    <mergeCell ref="Y42:Y43"/>
    <mergeCell ref="Z42:Z43"/>
    <mergeCell ref="AC42:AC43"/>
    <mergeCell ref="AD42:AD43"/>
    <mergeCell ref="AE42:AE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C50:AC51"/>
    <mergeCell ref="AD50:AD51"/>
    <mergeCell ref="AE50:AE51"/>
    <mergeCell ref="AF50:AF51"/>
    <mergeCell ref="AD44:AD45"/>
    <mergeCell ref="AE44:AE45"/>
    <mergeCell ref="AF44:AF45"/>
    <mergeCell ref="G46:G47"/>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AD46:AD47"/>
    <mergeCell ref="AE46:AE47"/>
    <mergeCell ref="AF46:AF47"/>
    <mergeCell ref="AB46:AB47"/>
    <mergeCell ref="T52:T53"/>
    <mergeCell ref="W52:W53"/>
    <mergeCell ref="X52:X53"/>
    <mergeCell ref="Y52:Y53"/>
    <mergeCell ref="Z52:Z53"/>
    <mergeCell ref="AC52:AC53"/>
    <mergeCell ref="S48:S49"/>
    <mergeCell ref="T48:T49"/>
    <mergeCell ref="W48:W49"/>
    <mergeCell ref="X48:X49"/>
    <mergeCell ref="Y48:Y49"/>
    <mergeCell ref="Z48:Z49"/>
    <mergeCell ref="AC48:AC49"/>
    <mergeCell ref="AD48:AD49"/>
    <mergeCell ref="AE48:AE49"/>
    <mergeCell ref="AF48:AF49"/>
    <mergeCell ref="E50:E51"/>
    <mergeCell ref="F50:F51"/>
    <mergeCell ref="G50:G51"/>
    <mergeCell ref="H50:H51"/>
    <mergeCell ref="K50:K51"/>
    <mergeCell ref="L50:L51"/>
    <mergeCell ref="M50:M51"/>
    <mergeCell ref="N50:N51"/>
    <mergeCell ref="Q50:Q51"/>
    <mergeCell ref="R50:R51"/>
    <mergeCell ref="S50:S51"/>
    <mergeCell ref="T50:T51"/>
    <mergeCell ref="W50:W51"/>
    <mergeCell ref="X50:X51"/>
    <mergeCell ref="Y50:Y51"/>
    <mergeCell ref="Z50:Z51"/>
    <mergeCell ref="AD52:AD53"/>
    <mergeCell ref="AE52:AE53"/>
    <mergeCell ref="AF52:AF53"/>
    <mergeCell ref="E54:E55"/>
    <mergeCell ref="F54:F55"/>
    <mergeCell ref="G54:G55"/>
    <mergeCell ref="H54:H55"/>
    <mergeCell ref="K54:K55"/>
    <mergeCell ref="L54:L55"/>
    <mergeCell ref="M54:M55"/>
    <mergeCell ref="N54:N55"/>
    <mergeCell ref="S54:S55"/>
    <mergeCell ref="T54:T55"/>
    <mergeCell ref="W54:W55"/>
    <mergeCell ref="X54:X55"/>
    <mergeCell ref="Y54:Y55"/>
    <mergeCell ref="Z54:Z55"/>
    <mergeCell ref="AC54:AC55"/>
    <mergeCell ref="AD54:AD55"/>
    <mergeCell ref="AE54:AE55"/>
    <mergeCell ref="AF54:AF55"/>
    <mergeCell ref="E52:E53"/>
    <mergeCell ref="F52:F53"/>
    <mergeCell ref="G52:G53"/>
    <mergeCell ref="H52:H53"/>
    <mergeCell ref="K52:K53"/>
    <mergeCell ref="L52:L53"/>
    <mergeCell ref="M52:M53"/>
    <mergeCell ref="N52:N53"/>
    <mergeCell ref="Q52:Q53"/>
    <mergeCell ref="R52:R53"/>
    <mergeCell ref="S52:S53"/>
    <mergeCell ref="H56:H57"/>
    <mergeCell ref="K56:K57"/>
    <mergeCell ref="L56:L57"/>
    <mergeCell ref="M56:M57"/>
    <mergeCell ref="N56:N57"/>
    <mergeCell ref="Q56:Q57"/>
    <mergeCell ref="R56:R57"/>
    <mergeCell ref="S56:S57"/>
    <mergeCell ref="T56:T57"/>
    <mergeCell ref="W56:W57"/>
    <mergeCell ref="X56:X57"/>
    <mergeCell ref="Y56:Y57"/>
    <mergeCell ref="Z56:Z57"/>
    <mergeCell ref="AC56:AC57"/>
    <mergeCell ref="AD56:AD57"/>
    <mergeCell ref="AB56:AB57"/>
    <mergeCell ref="AE56:AE57"/>
    <mergeCell ref="AF56:AF57"/>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V15:V16"/>
    <mergeCell ref="X15:X16"/>
    <mergeCell ref="Y15:Y16"/>
    <mergeCell ref="Z15:Z16"/>
    <mergeCell ref="AA15:AA16"/>
    <mergeCell ref="AC15:AC16"/>
    <mergeCell ref="AD15:AD16"/>
    <mergeCell ref="AB15:AB16"/>
    <mergeCell ref="AE15:AE16"/>
    <mergeCell ref="AF15:AF16"/>
    <mergeCell ref="E17:E18"/>
    <mergeCell ref="F17:F18"/>
    <mergeCell ref="G17:G18"/>
    <mergeCell ref="H17:H18"/>
    <mergeCell ref="K17:K18"/>
    <mergeCell ref="L17:L18"/>
    <mergeCell ref="M17:M18"/>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E21:E22"/>
    <mergeCell ref="F21:F22"/>
    <mergeCell ref="G21:G22"/>
    <mergeCell ref="H21:H22"/>
    <mergeCell ref="K21:K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AB19:AB20"/>
    <mergeCell ref="U23:U24"/>
    <mergeCell ref="W23:W24"/>
    <mergeCell ref="X23:X24"/>
    <mergeCell ref="Y23:Y24"/>
    <mergeCell ref="Z23:Z24"/>
    <mergeCell ref="AA23:AA24"/>
    <mergeCell ref="AC23:AC24"/>
    <mergeCell ref="AD23:AD24"/>
    <mergeCell ref="AB23:AB24"/>
    <mergeCell ref="AE23:AE24"/>
    <mergeCell ref="AF23:AF24"/>
    <mergeCell ref="AG23:AG24"/>
    <mergeCell ref="E25:E26"/>
    <mergeCell ref="F25:F26"/>
    <mergeCell ref="G25:G26"/>
    <mergeCell ref="H25:H26"/>
    <mergeCell ref="K25:K26"/>
    <mergeCell ref="L25:L26"/>
    <mergeCell ref="M25:M26"/>
    <mergeCell ref="T25:T26"/>
    <mergeCell ref="U25:U26"/>
    <mergeCell ref="W25:W26"/>
    <mergeCell ref="X25:X26"/>
    <mergeCell ref="Y25:Y26"/>
    <mergeCell ref="Z25:Z26"/>
    <mergeCell ref="AA25:AA26"/>
    <mergeCell ref="AC25:AC26"/>
    <mergeCell ref="AD25:AD26"/>
    <mergeCell ref="AE25:AE26"/>
    <mergeCell ref="AF25:AF26"/>
    <mergeCell ref="AG25:AG26"/>
    <mergeCell ref="U27:U28"/>
    <mergeCell ref="W27:W28"/>
    <mergeCell ref="X27:X28"/>
    <mergeCell ref="Y27:Y28"/>
    <mergeCell ref="Z27:Z28"/>
    <mergeCell ref="AA27:AA28"/>
    <mergeCell ref="AC27:AC28"/>
    <mergeCell ref="AD27:AD28"/>
    <mergeCell ref="AE27:AE28"/>
    <mergeCell ref="AF27:AF28"/>
    <mergeCell ref="AG27:AG28"/>
    <mergeCell ref="E29:E30"/>
    <mergeCell ref="F29:F30"/>
    <mergeCell ref="G29:G30"/>
    <mergeCell ref="H29:H30"/>
    <mergeCell ref="K29:K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U31:U32"/>
    <mergeCell ref="W31:W32"/>
    <mergeCell ref="X31:X32"/>
    <mergeCell ref="Y31:Y32"/>
    <mergeCell ref="Z31:Z32"/>
    <mergeCell ref="AA31:AA32"/>
    <mergeCell ref="AC31:AC32"/>
    <mergeCell ref="AD31:AD32"/>
    <mergeCell ref="AE31:AE32"/>
    <mergeCell ref="AF31:AF32"/>
    <mergeCell ref="AG31:AG32"/>
    <mergeCell ref="E33:E34"/>
    <mergeCell ref="F33:F34"/>
    <mergeCell ref="G33:G34"/>
    <mergeCell ref="H33:H34"/>
    <mergeCell ref="K33:K34"/>
    <mergeCell ref="L33:L34"/>
    <mergeCell ref="M33:M34"/>
    <mergeCell ref="T33:T34"/>
    <mergeCell ref="U33:U34"/>
    <mergeCell ref="W33:W34"/>
    <mergeCell ref="X33:X34"/>
    <mergeCell ref="Y33:Y34"/>
    <mergeCell ref="Z33:Z34"/>
    <mergeCell ref="AA33:AA34"/>
    <mergeCell ref="AC33:AC34"/>
    <mergeCell ref="AD33:AD34"/>
    <mergeCell ref="AE33:AE34"/>
    <mergeCell ref="AF33:AF34"/>
    <mergeCell ref="AG33:AG34"/>
    <mergeCell ref="AA37:AA38"/>
    <mergeCell ref="AC37:AC38"/>
    <mergeCell ref="AD37:AD38"/>
    <mergeCell ref="AE37:AE38"/>
    <mergeCell ref="AF37:AF38"/>
    <mergeCell ref="AG37:AG38"/>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R59:R60"/>
    <mergeCell ref="S59:S60"/>
    <mergeCell ref="T59:T60"/>
    <mergeCell ref="W59:W60"/>
    <mergeCell ref="X59:X60"/>
    <mergeCell ref="Y59:Y60"/>
    <mergeCell ref="Z59:Z60"/>
    <mergeCell ref="AC59:AC60"/>
    <mergeCell ref="AA35:AA36"/>
    <mergeCell ref="AC35:AC36"/>
    <mergeCell ref="AD35:AD36"/>
    <mergeCell ref="AE35:AE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D59:AD60"/>
    <mergeCell ref="AE59:AE60"/>
    <mergeCell ref="AF59:AF60"/>
    <mergeCell ref="E61:E62"/>
    <mergeCell ref="F61:F62"/>
    <mergeCell ref="G61:G62"/>
    <mergeCell ref="H61:H62"/>
    <mergeCell ref="K61:K62"/>
    <mergeCell ref="L61:L62"/>
    <mergeCell ref="M61:M62"/>
    <mergeCell ref="N61:N62"/>
    <mergeCell ref="Q61:Q62"/>
    <mergeCell ref="R61:R62"/>
    <mergeCell ref="S61:S62"/>
    <mergeCell ref="T61:T62"/>
    <mergeCell ref="W61:W62"/>
    <mergeCell ref="X61:X62"/>
    <mergeCell ref="Y61:Y62"/>
    <mergeCell ref="Z61:Z62"/>
    <mergeCell ref="AC61:AC62"/>
    <mergeCell ref="AD61:AD62"/>
    <mergeCell ref="AE61:AE62"/>
    <mergeCell ref="AF61:AF62"/>
    <mergeCell ref="E59:E60"/>
    <mergeCell ref="F59:F60"/>
    <mergeCell ref="G59:G60"/>
    <mergeCell ref="H59:H60"/>
    <mergeCell ref="K59:K60"/>
    <mergeCell ref="L59:L60"/>
    <mergeCell ref="M59:M60"/>
    <mergeCell ref="N59:N60"/>
    <mergeCell ref="Q59:Q60"/>
    <mergeCell ref="AC63:AC64"/>
    <mergeCell ref="AD63:AD64"/>
    <mergeCell ref="AE63:AE64"/>
    <mergeCell ref="AF63:AF64"/>
    <mergeCell ref="E65:E66"/>
    <mergeCell ref="F65:F66"/>
    <mergeCell ref="G65:G66"/>
    <mergeCell ref="H65:H66"/>
    <mergeCell ref="K65:K66"/>
    <mergeCell ref="L65:L66"/>
    <mergeCell ref="M65:M66"/>
    <mergeCell ref="T65:T66"/>
    <mergeCell ref="W65:W66"/>
    <mergeCell ref="X65:X66"/>
    <mergeCell ref="Y65:Y66"/>
    <mergeCell ref="Z65:Z66"/>
    <mergeCell ref="AC65:AC66"/>
    <mergeCell ref="AD65:AD66"/>
    <mergeCell ref="AE65:AE66"/>
    <mergeCell ref="AF65:AF66"/>
    <mergeCell ref="AC67:AC68"/>
    <mergeCell ref="AD67:AD68"/>
    <mergeCell ref="AE67:AE68"/>
    <mergeCell ref="AF67:AF68"/>
    <mergeCell ref="E69:E70"/>
    <mergeCell ref="F69:F70"/>
    <mergeCell ref="G69:G70"/>
    <mergeCell ref="H69:H70"/>
    <mergeCell ref="K69:K70"/>
    <mergeCell ref="L69:L70"/>
    <mergeCell ref="M69:M70"/>
    <mergeCell ref="T69:T70"/>
    <mergeCell ref="W69:W70"/>
    <mergeCell ref="X69:X70"/>
    <mergeCell ref="Y69:Y70"/>
    <mergeCell ref="Z69:Z70"/>
    <mergeCell ref="AC69:AC70"/>
    <mergeCell ref="AD69:AD70"/>
    <mergeCell ref="AE69:AE70"/>
    <mergeCell ref="AF69:AF70"/>
    <mergeCell ref="AC71:AC72"/>
    <mergeCell ref="AD71:AD72"/>
    <mergeCell ref="AE71:AE72"/>
    <mergeCell ref="AF71:AF72"/>
    <mergeCell ref="E74:E75"/>
    <mergeCell ref="F74:F75"/>
    <mergeCell ref="G74:G75"/>
    <mergeCell ref="H74:H75"/>
    <mergeCell ref="K74:K75"/>
    <mergeCell ref="L74:L75"/>
    <mergeCell ref="M74:M75"/>
    <mergeCell ref="T74:T75"/>
    <mergeCell ref="W74:W75"/>
    <mergeCell ref="X74:X75"/>
    <mergeCell ref="Y74:Y75"/>
    <mergeCell ref="Z74:Z75"/>
    <mergeCell ref="AC74:AC75"/>
    <mergeCell ref="AD74:AD75"/>
    <mergeCell ref="AE74:AE75"/>
    <mergeCell ref="AF74:AF75"/>
    <mergeCell ref="B73:AH73"/>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J85:J86"/>
    <mergeCell ref="P85:P86"/>
    <mergeCell ref="V85:V86"/>
    <mergeCell ref="AB85:AB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D91:AD92"/>
    <mergeCell ref="AE91:AE92"/>
    <mergeCell ref="AF91:AF92"/>
    <mergeCell ref="M93:M94"/>
    <mergeCell ref="N93:N94"/>
    <mergeCell ref="Q93:Q94"/>
    <mergeCell ref="R93:R94"/>
    <mergeCell ref="S93:S94"/>
    <mergeCell ref="T93:T94"/>
    <mergeCell ref="W93:W94"/>
    <mergeCell ref="X93:X94"/>
    <mergeCell ref="Y93:Y94"/>
    <mergeCell ref="Z93:Z94"/>
    <mergeCell ref="AC93:AC94"/>
    <mergeCell ref="W89:W90"/>
    <mergeCell ref="X89:X90"/>
    <mergeCell ref="Y89:Y90"/>
    <mergeCell ref="Z89:Z90"/>
    <mergeCell ref="AC89:AC90"/>
    <mergeCell ref="AD89:AD90"/>
    <mergeCell ref="Y100:Y101"/>
    <mergeCell ref="Z100:Z101"/>
    <mergeCell ref="AC100:AC101"/>
    <mergeCell ref="AD100:AD101"/>
    <mergeCell ref="AE100:AE101"/>
    <mergeCell ref="AF100:AF101"/>
    <mergeCell ref="AD93:AD94"/>
    <mergeCell ref="AE93:AE94"/>
    <mergeCell ref="AF93:AF94"/>
    <mergeCell ref="E96:E97"/>
    <mergeCell ref="F96:F97"/>
    <mergeCell ref="G96:G97"/>
    <mergeCell ref="H96:H97"/>
    <mergeCell ref="K96:K97"/>
    <mergeCell ref="L96:L97"/>
    <mergeCell ref="M96:M97"/>
    <mergeCell ref="N96:N97"/>
    <mergeCell ref="Q96:Q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N102:N103"/>
    <mergeCell ref="Q102:Q103"/>
    <mergeCell ref="R102:R103"/>
    <mergeCell ref="S102:S103"/>
    <mergeCell ref="T102:T103"/>
    <mergeCell ref="W102:W103"/>
    <mergeCell ref="X102:X103"/>
    <mergeCell ref="Y102:Y103"/>
    <mergeCell ref="Z102:Z103"/>
    <mergeCell ref="AC102:AC103"/>
    <mergeCell ref="Y98:Y99"/>
    <mergeCell ref="Z98:Z99"/>
    <mergeCell ref="AC98:AC99"/>
    <mergeCell ref="AD98:AD99"/>
    <mergeCell ref="AE98:AE99"/>
    <mergeCell ref="AF98:AF99"/>
    <mergeCell ref="E100:E101"/>
    <mergeCell ref="F100:F101"/>
    <mergeCell ref="G100:G101"/>
    <mergeCell ref="H100:H101"/>
    <mergeCell ref="K100:K101"/>
    <mergeCell ref="L100:L101"/>
    <mergeCell ref="J100:J101"/>
    <mergeCell ref="M100:M101"/>
    <mergeCell ref="N100:N101"/>
    <mergeCell ref="Q100:Q101"/>
    <mergeCell ref="R100:R101"/>
    <mergeCell ref="S100:S101"/>
    <mergeCell ref="T100:T101"/>
    <mergeCell ref="P100:P101"/>
    <mergeCell ref="W100:W101"/>
    <mergeCell ref="X100:X101"/>
    <mergeCell ref="AD102:AD103"/>
    <mergeCell ref="AE102:AE103"/>
    <mergeCell ref="AF102:AF103"/>
    <mergeCell ref="E104:E105"/>
    <mergeCell ref="F104:F105"/>
    <mergeCell ref="G104:G105"/>
    <mergeCell ref="H104:H105"/>
    <mergeCell ref="K104:K105"/>
    <mergeCell ref="L104:L105"/>
    <mergeCell ref="J104:J105"/>
    <mergeCell ref="M104:M105"/>
    <mergeCell ref="N104:N105"/>
    <mergeCell ref="Q104:Q105"/>
    <mergeCell ref="R104:R105"/>
    <mergeCell ref="S104:S105"/>
    <mergeCell ref="T104:T105"/>
    <mergeCell ref="P104:P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N112:N113"/>
    <mergeCell ref="Q112:Q113"/>
    <mergeCell ref="R112:R113"/>
    <mergeCell ref="S112:S113"/>
    <mergeCell ref="T112:T113"/>
    <mergeCell ref="W112:W113"/>
    <mergeCell ref="X112:X113"/>
    <mergeCell ref="Y112:Y113"/>
    <mergeCell ref="Z112:Z113"/>
    <mergeCell ref="AC112:AC113"/>
    <mergeCell ref="E110:E111"/>
    <mergeCell ref="F110:F111"/>
    <mergeCell ref="G110:G111"/>
    <mergeCell ref="H110:H111"/>
    <mergeCell ref="K110:K111"/>
    <mergeCell ref="L110:L111"/>
    <mergeCell ref="J110:J111"/>
    <mergeCell ref="M110:M111"/>
    <mergeCell ref="N110:N111"/>
    <mergeCell ref="Q110:Q111"/>
    <mergeCell ref="R110:R111"/>
    <mergeCell ref="S110:S111"/>
    <mergeCell ref="T110:T111"/>
    <mergeCell ref="P110:P111"/>
    <mergeCell ref="W110:W111"/>
    <mergeCell ref="X110:X111"/>
    <mergeCell ref="Y110:Y111"/>
    <mergeCell ref="AD112:AD113"/>
    <mergeCell ref="AE112:AE113"/>
    <mergeCell ref="AF112:AF113"/>
    <mergeCell ref="E114:E115"/>
    <mergeCell ref="F114:F115"/>
    <mergeCell ref="G114:G115"/>
    <mergeCell ref="H114:H115"/>
    <mergeCell ref="K114:K115"/>
    <mergeCell ref="L114:L115"/>
    <mergeCell ref="J114:J115"/>
    <mergeCell ref="M114:M115"/>
    <mergeCell ref="N114:N115"/>
    <mergeCell ref="Q114:Q115"/>
    <mergeCell ref="R114:R115"/>
    <mergeCell ref="S114:S115"/>
    <mergeCell ref="T114:T115"/>
    <mergeCell ref="P114:P115"/>
    <mergeCell ref="W114:W115"/>
    <mergeCell ref="X114:X115"/>
    <mergeCell ref="Y114:Y115"/>
    <mergeCell ref="Z114:Z115"/>
    <mergeCell ref="AC114:AC115"/>
    <mergeCell ref="AD114:AD115"/>
    <mergeCell ref="AE114:AE115"/>
    <mergeCell ref="AF114:AF115"/>
    <mergeCell ref="E112:E113"/>
    <mergeCell ref="F112:F113"/>
    <mergeCell ref="G112:G113"/>
    <mergeCell ref="H112:H113"/>
    <mergeCell ref="K112:K113"/>
    <mergeCell ref="L112:L113"/>
    <mergeCell ref="M112:M113"/>
    <mergeCell ref="AD118:AD119"/>
    <mergeCell ref="AE118:AE119"/>
    <mergeCell ref="AF118:AF119"/>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N120:N121"/>
    <mergeCell ref="Q120:Q121"/>
    <mergeCell ref="R120:R121"/>
    <mergeCell ref="S120:S121"/>
    <mergeCell ref="T120:T121"/>
    <mergeCell ref="W120:W121"/>
    <mergeCell ref="X120:X121"/>
    <mergeCell ref="Y120:Y121"/>
    <mergeCell ref="Z120:Z121"/>
    <mergeCell ref="AC120:AC121"/>
    <mergeCell ref="AD116:AD117"/>
    <mergeCell ref="AE116:AE117"/>
    <mergeCell ref="AF116:AF117"/>
    <mergeCell ref="E118:E119"/>
    <mergeCell ref="F118:F119"/>
    <mergeCell ref="G118:G119"/>
    <mergeCell ref="H118:H119"/>
    <mergeCell ref="K118:K119"/>
    <mergeCell ref="L118:L119"/>
    <mergeCell ref="J118:J119"/>
    <mergeCell ref="M118:M119"/>
    <mergeCell ref="N118:N119"/>
    <mergeCell ref="Q118:Q119"/>
    <mergeCell ref="R118:R119"/>
    <mergeCell ref="S118:S119"/>
    <mergeCell ref="T118:T119"/>
    <mergeCell ref="P118:P119"/>
    <mergeCell ref="W118:W119"/>
    <mergeCell ref="X118:X119"/>
    <mergeCell ref="Y118:Y119"/>
    <mergeCell ref="Z118:Z119"/>
    <mergeCell ref="AC118:AC119"/>
    <mergeCell ref="AD120:AD121"/>
    <mergeCell ref="AE120:AE121"/>
    <mergeCell ref="AF120:AF121"/>
    <mergeCell ref="E122:E123"/>
    <mergeCell ref="F122:F123"/>
    <mergeCell ref="G122:G123"/>
    <mergeCell ref="H122:H123"/>
    <mergeCell ref="K122:K123"/>
    <mergeCell ref="L122:L123"/>
    <mergeCell ref="J122:J123"/>
    <mergeCell ref="M122:M123"/>
    <mergeCell ref="N122:N123"/>
    <mergeCell ref="Q122:Q123"/>
    <mergeCell ref="R122:R123"/>
    <mergeCell ref="S122:S123"/>
    <mergeCell ref="T122:T123"/>
    <mergeCell ref="P122:P123"/>
    <mergeCell ref="W122:W123"/>
    <mergeCell ref="X122:X123"/>
    <mergeCell ref="Y122:Y123"/>
    <mergeCell ref="Z122:Z123"/>
    <mergeCell ref="AC122:AC123"/>
    <mergeCell ref="AD122:AD123"/>
    <mergeCell ref="AE122:AE123"/>
    <mergeCell ref="AF122:AF123"/>
    <mergeCell ref="E120:E121"/>
    <mergeCell ref="F120:F121"/>
    <mergeCell ref="G120:G121"/>
    <mergeCell ref="H120:H121"/>
    <mergeCell ref="K120:K121"/>
    <mergeCell ref="L120:L121"/>
    <mergeCell ref="M120:M121"/>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J157:J158"/>
    <mergeCell ref="P157:P158"/>
    <mergeCell ref="V157:V158"/>
    <mergeCell ref="AB157:AB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J165:J166"/>
    <mergeCell ref="P165:P166"/>
    <mergeCell ref="V165:V166"/>
    <mergeCell ref="AB165:AB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S173:S174"/>
    <mergeCell ref="T173:T174"/>
    <mergeCell ref="W173:W174"/>
    <mergeCell ref="X173:X174"/>
    <mergeCell ref="Y173:Y174"/>
    <mergeCell ref="Z173:Z174"/>
    <mergeCell ref="AC173:AC174"/>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J173:J174"/>
    <mergeCell ref="P173:P174"/>
    <mergeCell ref="V173:V174"/>
    <mergeCell ref="AB173:AB174"/>
    <mergeCell ref="AE173:AE174"/>
    <mergeCell ref="AF173:AF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AD175:AD176"/>
    <mergeCell ref="AE175:AE176"/>
    <mergeCell ref="AF175:AF176"/>
    <mergeCell ref="E173:E174"/>
    <mergeCell ref="F173:F174"/>
    <mergeCell ref="G173:G174"/>
    <mergeCell ref="H173:H174"/>
    <mergeCell ref="K173:K174"/>
    <mergeCell ref="L173:L174"/>
    <mergeCell ref="M173:M174"/>
    <mergeCell ref="N173:N174"/>
    <mergeCell ref="Q173:Q174"/>
    <mergeCell ref="R173:R174"/>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J181:J182"/>
    <mergeCell ref="P181:P182"/>
    <mergeCell ref="V181:V182"/>
    <mergeCell ref="AB181:AB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J190:J191"/>
    <mergeCell ref="P190:P191"/>
    <mergeCell ref="V190:V191"/>
    <mergeCell ref="AB190:AB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AB241:AB242"/>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AE245:AE246"/>
    <mergeCell ref="AF245:AF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D247:AD248"/>
    <mergeCell ref="AE247:AE248"/>
    <mergeCell ref="AF247:AF248"/>
    <mergeCell ref="E245:E246"/>
    <mergeCell ref="F245:F246"/>
    <mergeCell ref="G245:G246"/>
    <mergeCell ref="H245:H246"/>
    <mergeCell ref="K245:K246"/>
    <mergeCell ref="L245:L246"/>
    <mergeCell ref="M245:M246"/>
    <mergeCell ref="N245:N246"/>
    <mergeCell ref="Q245:Q246"/>
    <mergeCell ref="R245:R246"/>
    <mergeCell ref="E249:E250"/>
    <mergeCell ref="F249:F250"/>
    <mergeCell ref="G249:G250"/>
    <mergeCell ref="H249:H250"/>
    <mergeCell ref="K249:K250"/>
    <mergeCell ref="L249:L250"/>
    <mergeCell ref="M249:M250"/>
    <mergeCell ref="N249:N250"/>
    <mergeCell ref="T249:T250"/>
    <mergeCell ref="W249:W250"/>
    <mergeCell ref="X249:X250"/>
    <mergeCell ref="Y249:Y250"/>
    <mergeCell ref="Z249:Z250"/>
    <mergeCell ref="AC249:AC250"/>
    <mergeCell ref="AB249:AB250"/>
    <mergeCell ref="AD249:AD250"/>
    <mergeCell ref="AE249:AE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AF249:AF250"/>
    <mergeCell ref="AD251:AD252"/>
    <mergeCell ref="AE251:AE252"/>
    <mergeCell ref="AF251:AF252"/>
    <mergeCell ref="J253:J254"/>
    <mergeCell ref="P253:P254"/>
    <mergeCell ref="V253:V254"/>
    <mergeCell ref="AB253:AB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H204:H205"/>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K198:K199"/>
    <mergeCell ref="L198:L199"/>
    <mergeCell ref="E253:E254"/>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AD253:AD254"/>
    <mergeCell ref="AD245:AD246"/>
    <mergeCell ref="S245:S246"/>
    <mergeCell ref="T245:T246"/>
    <mergeCell ref="W245:W246"/>
    <mergeCell ref="X245:X246"/>
    <mergeCell ref="Y245:Y246"/>
    <mergeCell ref="Z245:Z246"/>
    <mergeCell ref="AC245:AC246"/>
    <mergeCell ref="V217:V218"/>
    <mergeCell ref="AB217:AB218"/>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S198:S199"/>
    <mergeCell ref="T198:T199"/>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Y196:Y197"/>
    <mergeCell ref="Z196:Z197"/>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M213:M214"/>
    <mergeCell ref="N213:N214"/>
    <mergeCell ref="K215:K216"/>
    <mergeCell ref="L215:L216"/>
    <mergeCell ref="M215:M216"/>
    <mergeCell ref="N215:N216"/>
    <mergeCell ref="Q213:Q214"/>
    <mergeCell ref="R213:R214"/>
    <mergeCell ref="W213:W214"/>
    <mergeCell ref="X213:X214"/>
    <mergeCell ref="W206:W207"/>
    <mergeCell ref="X206:X207"/>
    <mergeCell ref="Y206:Y207"/>
    <mergeCell ref="Z206:Z207"/>
    <mergeCell ref="W208:W209"/>
    <mergeCell ref="X208:X209"/>
    <mergeCell ref="Y208:Y209"/>
    <mergeCell ref="Z208:Z209"/>
    <mergeCell ref="W210:W211"/>
    <mergeCell ref="X210:X211"/>
    <mergeCell ref="R217:R218"/>
    <mergeCell ref="K213:K214"/>
    <mergeCell ref="L213:L214"/>
    <mergeCell ref="S213:S214"/>
    <mergeCell ref="T213:T214"/>
    <mergeCell ref="Q215:Q216"/>
    <mergeCell ref="R215:R216"/>
    <mergeCell ref="S215:S216"/>
    <mergeCell ref="T215:T216"/>
    <mergeCell ref="E213:E214"/>
    <mergeCell ref="E215:E216"/>
    <mergeCell ref="E217:E218"/>
    <mergeCell ref="F213:F214"/>
    <mergeCell ref="G213:G214"/>
    <mergeCell ref="H213:H214"/>
    <mergeCell ref="F215:F216"/>
    <mergeCell ref="G215:G216"/>
    <mergeCell ref="H215:H216"/>
    <mergeCell ref="F217:F218"/>
    <mergeCell ref="G217:G218"/>
    <mergeCell ref="H217:H218"/>
    <mergeCell ref="J217:J218"/>
    <mergeCell ref="P217:P218"/>
    <mergeCell ref="W217:W218"/>
    <mergeCell ref="X217:X218"/>
    <mergeCell ref="S217:S218"/>
    <mergeCell ref="T217:T218"/>
    <mergeCell ref="Y213:Y214"/>
    <mergeCell ref="Z213:Z214"/>
    <mergeCell ref="W215:W216"/>
    <mergeCell ref="X215:X216"/>
    <mergeCell ref="Y215:Y216"/>
    <mergeCell ref="Z215:Z216"/>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Y217:Y218"/>
    <mergeCell ref="Z217:Z218"/>
  </mergeCells>
  <pageMargins left="0.38" right="0.41" top="0.28000000000000003" bottom="0.32" header="0.22" footer="0.22"/>
  <pageSetup paperSize="9" scale="88"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5BEF8-2DE3-4C4A-8245-B6694E5F43AE}">
  <sheetPr>
    <pageSetUpPr fitToPage="1"/>
  </sheetPr>
  <dimension ref="A1:AH259"/>
  <sheetViews>
    <sheetView zoomScale="90" zoomScaleNormal="90" workbookViewId="0">
      <pane ySplit="12" topLeftCell="A231" activePane="bottomLeft" state="frozen"/>
      <selection activeCell="B67" sqref="B67:C68"/>
      <selection pane="bottomLeft" activeCell="AC235" sqref="AC235:AF235"/>
    </sheetView>
  </sheetViews>
  <sheetFormatPr defaultColWidth="9.109375" defaultRowHeight="10.199999999999999" x14ac:dyDescent="0.2"/>
  <cols>
    <col min="1" max="1" width="5.44140625" style="11" customWidth="1"/>
    <col min="2" max="2" width="35.77734375" style="31" customWidth="1"/>
    <col min="3" max="3" width="7.21875" style="31" customWidth="1"/>
    <col min="4" max="4" width="5.77734375" style="11" customWidth="1"/>
    <col min="5" max="34" width="4.77734375" style="11" customWidth="1"/>
    <col min="35" max="16384" width="9.109375" style="11"/>
  </cols>
  <sheetData>
    <row r="1" spans="1:34" x14ac:dyDescent="0.2">
      <c r="A1" s="165"/>
      <c r="B1" s="166"/>
      <c r="C1" s="166"/>
      <c r="D1" s="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x14ac:dyDescent="0.2">
      <c r="A2" s="485" t="s">
        <v>51</v>
      </c>
      <c r="B2" s="485"/>
      <c r="C2" s="485"/>
      <c r="D2" s="269"/>
      <c r="E2" s="269"/>
      <c r="F2" s="269"/>
      <c r="G2" s="269"/>
      <c r="H2" s="269"/>
      <c r="I2" s="269"/>
      <c r="J2" s="269"/>
      <c r="K2" s="269"/>
      <c r="L2" s="269"/>
      <c r="M2" s="269"/>
      <c r="N2" s="269"/>
      <c r="O2" s="269"/>
      <c r="P2" s="269"/>
      <c r="Q2" s="269"/>
      <c r="R2" s="2"/>
      <c r="S2" s="2"/>
      <c r="T2" s="2"/>
      <c r="U2" s="2"/>
      <c r="V2" s="2"/>
      <c r="W2" s="2"/>
      <c r="X2" s="2"/>
      <c r="Y2" s="2"/>
      <c r="Z2" s="2"/>
      <c r="AA2" s="2"/>
      <c r="AB2" s="2"/>
      <c r="AC2" s="2"/>
      <c r="AD2" s="2"/>
      <c r="AE2" s="2"/>
      <c r="AF2" s="2"/>
      <c r="AG2" s="2"/>
      <c r="AH2" s="2"/>
    </row>
    <row r="3" spans="1:34" x14ac:dyDescent="0.2">
      <c r="A3" s="485" t="s">
        <v>50</v>
      </c>
      <c r="B3" s="485"/>
      <c r="C3" s="485"/>
      <c r="D3" s="269"/>
      <c r="E3" s="269"/>
      <c r="F3" s="269"/>
      <c r="G3" s="269"/>
      <c r="H3" s="269"/>
      <c r="I3" s="269"/>
      <c r="J3" s="269"/>
      <c r="K3" s="269"/>
      <c r="L3" s="269"/>
      <c r="M3" s="2"/>
      <c r="N3" s="482"/>
      <c r="O3" s="483"/>
      <c r="P3" s="2"/>
      <c r="Q3" s="2"/>
      <c r="R3" s="2"/>
      <c r="S3" s="2"/>
      <c r="T3" s="2"/>
      <c r="U3" s="2"/>
      <c r="V3" s="2"/>
      <c r="W3" s="2"/>
      <c r="X3" s="2"/>
      <c r="Y3" s="2"/>
      <c r="Z3" s="2"/>
      <c r="AA3" s="2"/>
      <c r="AB3" s="2"/>
      <c r="AC3" s="2"/>
      <c r="AD3" s="2"/>
      <c r="AE3" s="2"/>
      <c r="AF3" s="2"/>
      <c r="AG3" s="2"/>
      <c r="AH3" s="2"/>
    </row>
    <row r="4" spans="1:34" x14ac:dyDescent="0.2">
      <c r="A4" s="485" t="s">
        <v>64</v>
      </c>
      <c r="B4" s="485"/>
      <c r="C4" s="485"/>
      <c r="D4" s="12"/>
      <c r="E4" s="2"/>
      <c r="F4" s="2"/>
      <c r="G4" s="2"/>
      <c r="H4" s="2"/>
      <c r="I4" s="2"/>
      <c r="J4" s="169"/>
      <c r="K4" s="2"/>
      <c r="L4" s="2"/>
      <c r="M4" s="2"/>
      <c r="N4" s="482"/>
      <c r="O4" s="483"/>
      <c r="P4" s="2"/>
      <c r="Q4" s="2"/>
      <c r="R4" s="2"/>
      <c r="S4" s="2"/>
      <c r="T4" s="2"/>
      <c r="U4" s="2"/>
      <c r="V4" s="2"/>
      <c r="W4" s="2"/>
      <c r="X4" s="2"/>
      <c r="Y4" s="2"/>
      <c r="Z4" s="2"/>
      <c r="AA4" s="2"/>
      <c r="AB4" s="2"/>
      <c r="AC4" s="2"/>
      <c r="AD4" s="2"/>
      <c r="AE4" s="2"/>
      <c r="AF4" s="2"/>
      <c r="AG4" s="2"/>
      <c r="AH4" s="2"/>
    </row>
    <row r="5" spans="1:34" x14ac:dyDescent="0.2">
      <c r="A5" s="486" t="s">
        <v>148</v>
      </c>
      <c r="B5" s="269"/>
      <c r="C5" s="172"/>
      <c r="D5" s="14"/>
      <c r="E5" s="2"/>
      <c r="F5" s="2"/>
      <c r="G5" s="2"/>
      <c r="H5" s="2"/>
      <c r="I5" s="2"/>
      <c r="J5" s="169"/>
      <c r="K5" s="2"/>
      <c r="L5" s="2"/>
      <c r="M5" s="2"/>
      <c r="N5" s="482"/>
      <c r="O5" s="483"/>
      <c r="P5" s="2"/>
      <c r="Q5" s="2"/>
      <c r="R5" s="4"/>
      <c r="S5" s="2"/>
      <c r="T5" s="2"/>
      <c r="U5" s="2"/>
      <c r="V5" s="2"/>
      <c r="W5" s="2"/>
      <c r="X5" s="2"/>
      <c r="Y5" s="484"/>
      <c r="Z5" s="2"/>
      <c r="AA5" s="2"/>
      <c r="AB5" s="2"/>
      <c r="AC5" s="2" t="s">
        <v>74</v>
      </c>
      <c r="AD5" s="2"/>
      <c r="AE5" s="2"/>
      <c r="AF5" s="2"/>
      <c r="AG5" s="2"/>
      <c r="AH5" s="2"/>
    </row>
    <row r="6" spans="1:34" x14ac:dyDescent="0.2">
      <c r="A6" s="486" t="s">
        <v>154</v>
      </c>
      <c r="B6" s="269"/>
      <c r="C6" s="166"/>
      <c r="D6" s="9"/>
      <c r="E6" s="2"/>
      <c r="F6" s="2"/>
      <c r="G6" s="2"/>
      <c r="H6" s="2"/>
      <c r="I6" s="5"/>
      <c r="J6" s="169"/>
      <c r="K6" s="2"/>
      <c r="L6" s="2"/>
      <c r="M6" s="2"/>
      <c r="N6" s="170"/>
      <c r="O6" s="171"/>
      <c r="P6" s="2"/>
      <c r="Q6" s="2"/>
      <c r="R6" s="2"/>
      <c r="S6" s="2"/>
      <c r="T6" s="2"/>
      <c r="U6" s="5"/>
      <c r="V6" s="5"/>
      <c r="W6" s="2"/>
      <c r="X6" s="2"/>
      <c r="Y6" s="484"/>
      <c r="Z6" s="2"/>
      <c r="AA6" s="5"/>
      <c r="AB6" s="5"/>
      <c r="AC6" s="2"/>
      <c r="AD6" s="2"/>
      <c r="AE6" s="2"/>
      <c r="AF6" s="2"/>
      <c r="AG6" s="5"/>
      <c r="AH6" s="5"/>
    </row>
    <row r="7" spans="1:34" x14ac:dyDescent="0.2">
      <c r="A7" s="481"/>
      <c r="B7" s="481"/>
      <c r="C7" s="481"/>
      <c r="I7" s="2"/>
      <c r="J7" s="2"/>
      <c r="N7" s="170"/>
      <c r="O7" s="171"/>
      <c r="P7" s="2"/>
      <c r="U7" s="2"/>
      <c r="V7" s="2"/>
      <c r="AA7" s="2"/>
      <c r="AB7" s="2"/>
      <c r="AG7" s="2"/>
      <c r="AH7" s="2"/>
    </row>
    <row r="8" spans="1:34" x14ac:dyDescent="0.2">
      <c r="A8" s="481" t="s">
        <v>168</v>
      </c>
      <c r="B8" s="481"/>
      <c r="C8" s="481"/>
      <c r="D8" s="269"/>
      <c r="E8" s="269"/>
      <c r="F8" s="269"/>
      <c r="G8" s="269"/>
      <c r="H8" s="269"/>
      <c r="I8" s="269"/>
      <c r="J8" s="269"/>
      <c r="K8" s="269"/>
      <c r="L8" s="269"/>
      <c r="M8" s="269"/>
      <c r="N8" s="269"/>
      <c r="O8" s="269"/>
      <c r="P8" s="269"/>
      <c r="Q8" s="269"/>
      <c r="U8" s="2"/>
      <c r="V8" s="2"/>
      <c r="AA8" s="2"/>
      <c r="AB8" s="2"/>
      <c r="AG8" s="2"/>
      <c r="AH8" s="2"/>
    </row>
    <row r="9" spans="1:34" x14ac:dyDescent="0.2">
      <c r="A9" s="165"/>
      <c r="B9" s="166"/>
      <c r="C9" s="166"/>
      <c r="D9" s="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spans="1:34" x14ac:dyDescent="0.2">
      <c r="A10" s="225"/>
      <c r="B10" s="532" t="s">
        <v>38</v>
      </c>
      <c r="C10" s="533"/>
      <c r="D10" s="18" t="s">
        <v>117</v>
      </c>
      <c r="E10" s="470">
        <v>2026</v>
      </c>
      <c r="F10" s="470"/>
      <c r="G10" s="470"/>
      <c r="H10" s="470"/>
      <c r="I10" s="460"/>
      <c r="J10" s="179"/>
      <c r="K10" s="470">
        <v>2027</v>
      </c>
      <c r="L10" s="470"/>
      <c r="M10" s="470"/>
      <c r="N10" s="470"/>
      <c r="O10" s="460"/>
      <c r="P10" s="251"/>
      <c r="Q10" s="470">
        <v>2028</v>
      </c>
      <c r="R10" s="470"/>
      <c r="S10" s="470"/>
      <c r="T10" s="470"/>
      <c r="U10" s="460"/>
      <c r="V10" s="251"/>
      <c r="W10" s="470">
        <v>2029</v>
      </c>
      <c r="X10" s="470"/>
      <c r="Y10" s="470"/>
      <c r="Z10" s="470"/>
      <c r="AA10" s="460"/>
      <c r="AB10" s="179"/>
      <c r="AC10" s="470">
        <v>2030</v>
      </c>
      <c r="AD10" s="470"/>
      <c r="AE10" s="470"/>
      <c r="AF10" s="470"/>
      <c r="AG10" s="460"/>
      <c r="AH10" s="179"/>
    </row>
    <row r="11" spans="1:34" x14ac:dyDescent="0.2">
      <c r="A11" s="225"/>
      <c r="B11" s="532"/>
      <c r="C11" s="533"/>
      <c r="D11" s="20"/>
      <c r="E11" s="470" t="s">
        <v>93</v>
      </c>
      <c r="F11" s="470"/>
      <c r="G11" s="460"/>
      <c r="H11" s="460"/>
      <c r="I11" s="460"/>
      <c r="J11" s="251"/>
      <c r="K11" s="470" t="s">
        <v>93</v>
      </c>
      <c r="L11" s="470"/>
      <c r="M11" s="460"/>
      <c r="N11" s="460"/>
      <c r="O11" s="460"/>
      <c r="P11" s="179"/>
      <c r="Q11" s="470" t="s">
        <v>93</v>
      </c>
      <c r="R11" s="470"/>
      <c r="S11" s="460"/>
      <c r="T11" s="460"/>
      <c r="U11" s="460"/>
      <c r="V11" s="179"/>
      <c r="W11" s="470" t="s">
        <v>93</v>
      </c>
      <c r="X11" s="470"/>
      <c r="Y11" s="460"/>
      <c r="Z11" s="460"/>
      <c r="AA11" s="460"/>
      <c r="AB11" s="179"/>
      <c r="AC11" s="470" t="s">
        <v>93</v>
      </c>
      <c r="AD11" s="470"/>
      <c r="AE11" s="460"/>
      <c r="AF11" s="460"/>
      <c r="AG11" s="460"/>
      <c r="AH11" s="179"/>
    </row>
    <row r="12" spans="1:34" x14ac:dyDescent="0.2">
      <c r="A12" s="225"/>
      <c r="B12" s="532"/>
      <c r="C12" s="533"/>
      <c r="D12" s="20"/>
      <c r="E12" s="176" t="s">
        <v>1</v>
      </c>
      <c r="F12" s="176" t="s">
        <v>2</v>
      </c>
      <c r="G12" s="176" t="s">
        <v>3</v>
      </c>
      <c r="H12" s="176" t="s">
        <v>4</v>
      </c>
      <c r="I12" s="180" t="s">
        <v>5</v>
      </c>
      <c r="J12" s="180" t="s">
        <v>112</v>
      </c>
      <c r="K12" s="176" t="s">
        <v>1</v>
      </c>
      <c r="L12" s="176" t="s">
        <v>2</v>
      </c>
      <c r="M12" s="176" t="s">
        <v>3</v>
      </c>
      <c r="N12" s="176" t="s">
        <v>4</v>
      </c>
      <c r="O12" s="180" t="s">
        <v>5</v>
      </c>
      <c r="P12" s="180" t="s">
        <v>119</v>
      </c>
      <c r="Q12" s="176" t="s">
        <v>1</v>
      </c>
      <c r="R12" s="176" t="s">
        <v>2</v>
      </c>
      <c r="S12" s="176" t="s">
        <v>3</v>
      </c>
      <c r="T12" s="176" t="s">
        <v>4</v>
      </c>
      <c r="U12" s="180" t="s">
        <v>5</v>
      </c>
      <c r="V12" s="180" t="s">
        <v>121</v>
      </c>
      <c r="W12" s="176" t="s">
        <v>1</v>
      </c>
      <c r="X12" s="176" t="s">
        <v>2</v>
      </c>
      <c r="Y12" s="176" t="s">
        <v>3</v>
      </c>
      <c r="Z12" s="176" t="s">
        <v>4</v>
      </c>
      <c r="AA12" s="180" t="s">
        <v>5</v>
      </c>
      <c r="AB12" s="180" t="s">
        <v>122</v>
      </c>
      <c r="AC12" s="176" t="s">
        <v>1</v>
      </c>
      <c r="AD12" s="176" t="s">
        <v>2</v>
      </c>
      <c r="AE12" s="176" t="s">
        <v>3</v>
      </c>
      <c r="AF12" s="176" t="s">
        <v>4</v>
      </c>
      <c r="AG12" s="180" t="s">
        <v>5</v>
      </c>
      <c r="AH12" s="180" t="s">
        <v>123</v>
      </c>
    </row>
    <row r="13" spans="1:34" x14ac:dyDescent="0.2">
      <c r="A13" s="227">
        <v>0</v>
      </c>
      <c r="B13" s="226">
        <v>1</v>
      </c>
      <c r="C13" s="226">
        <v>2</v>
      </c>
      <c r="D13" s="22">
        <v>3</v>
      </c>
      <c r="E13" s="178" t="s">
        <v>113</v>
      </c>
      <c r="F13" s="178" t="s">
        <v>114</v>
      </c>
      <c r="G13" s="178" t="s">
        <v>115</v>
      </c>
      <c r="H13" s="178" t="s">
        <v>116</v>
      </c>
      <c r="I13" s="178"/>
      <c r="J13" s="178"/>
      <c r="K13" s="178" t="s">
        <v>113</v>
      </c>
      <c r="L13" s="178" t="s">
        <v>114</v>
      </c>
      <c r="M13" s="178" t="s">
        <v>115</v>
      </c>
      <c r="N13" s="178" t="s">
        <v>116</v>
      </c>
      <c r="O13" s="178"/>
      <c r="P13" s="178"/>
      <c r="Q13" s="178" t="s">
        <v>113</v>
      </c>
      <c r="R13" s="178" t="s">
        <v>114</v>
      </c>
      <c r="S13" s="178" t="s">
        <v>115</v>
      </c>
      <c r="T13" s="178" t="s">
        <v>116</v>
      </c>
      <c r="U13" s="178"/>
      <c r="V13" s="178"/>
      <c r="W13" s="178" t="s">
        <v>113</v>
      </c>
      <c r="X13" s="178" t="s">
        <v>114</v>
      </c>
      <c r="Y13" s="178" t="s">
        <v>115</v>
      </c>
      <c r="Z13" s="178" t="s">
        <v>116</v>
      </c>
      <c r="AA13" s="178"/>
      <c r="AB13" s="178"/>
      <c r="AC13" s="178" t="s">
        <v>113</v>
      </c>
      <c r="AD13" s="178" t="s">
        <v>114</v>
      </c>
      <c r="AE13" s="178" t="s">
        <v>115</v>
      </c>
      <c r="AF13" s="178" t="s">
        <v>116</v>
      </c>
      <c r="AG13" s="178"/>
      <c r="AH13" s="178"/>
    </row>
    <row r="14" spans="1:34" ht="10.8" thickBot="1" x14ac:dyDescent="0.25">
      <c r="A14" s="225">
        <v>1.1000000000000001</v>
      </c>
      <c r="B14" s="45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529"/>
      <c r="B15" s="526" t="s">
        <v>92</v>
      </c>
      <c r="C15" s="52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529"/>
      <c r="B16" s="526"/>
      <c r="C16" s="52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529"/>
      <c r="B17" s="526"/>
      <c r="C17" s="52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529"/>
      <c r="B18" s="526"/>
      <c r="C18" s="52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529"/>
      <c r="B19" s="526"/>
      <c r="C19" s="52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529"/>
      <c r="B20" s="526"/>
      <c r="C20" s="52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529"/>
      <c r="B21" s="526" t="s">
        <v>80</v>
      </c>
      <c r="C21" s="52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529"/>
      <c r="B22" s="526"/>
      <c r="C22" s="52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529"/>
      <c r="B23" s="526"/>
      <c r="C23" s="52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529"/>
      <c r="B24" s="526"/>
      <c r="C24" s="52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529"/>
      <c r="B25" s="526"/>
      <c r="C25" s="52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529"/>
      <c r="B26" s="526"/>
      <c r="C26" s="52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529"/>
      <c r="B27" s="526" t="s">
        <v>81</v>
      </c>
      <c r="C27" s="52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529"/>
      <c r="B28" s="526"/>
      <c r="C28" s="52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529"/>
      <c r="B29" s="526"/>
      <c r="C29" s="52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529"/>
      <c r="B30" s="526"/>
      <c r="C30" s="52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529"/>
      <c r="B31" s="526"/>
      <c r="C31" s="52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529"/>
      <c r="B32" s="526"/>
      <c r="C32" s="52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529"/>
      <c r="B33" s="535" t="s">
        <v>79</v>
      </c>
      <c r="C33" s="52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529"/>
      <c r="B34" s="535"/>
      <c r="C34" s="52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529"/>
      <c r="B35" s="535"/>
      <c r="C35" s="52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529"/>
      <c r="B36" s="535"/>
      <c r="C36" s="52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529"/>
      <c r="B37" s="535"/>
      <c r="C37" s="52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529"/>
      <c r="B38" s="535"/>
      <c r="C38" s="52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225">
        <v>1.2</v>
      </c>
      <c r="B39" s="537" t="s">
        <v>12</v>
      </c>
      <c r="C39" s="538"/>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529"/>
      <c r="B40" s="526" t="s">
        <v>39</v>
      </c>
      <c r="C40" s="526"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529"/>
      <c r="B41" s="526"/>
      <c r="C41" s="526"/>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529"/>
      <c r="B42" s="526"/>
      <c r="C42" s="526"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529"/>
      <c r="B43" s="526"/>
      <c r="C43" s="526"/>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529"/>
      <c r="B44" s="526"/>
      <c r="C44" s="526"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529"/>
      <c r="B45" s="526"/>
      <c r="C45" s="526"/>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529"/>
      <c r="B46" s="465" t="s">
        <v>0</v>
      </c>
      <c r="C46" s="526"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529"/>
      <c r="B47" s="465"/>
      <c r="C47" s="526"/>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529"/>
      <c r="B48" s="465"/>
      <c r="C48" s="526"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529"/>
      <c r="B49" s="465"/>
      <c r="C49" s="526"/>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529"/>
      <c r="B50" s="465"/>
      <c r="C50" s="526"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529"/>
      <c r="B51" s="465"/>
      <c r="C51" s="526"/>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529"/>
      <c r="B52" s="526" t="s">
        <v>40</v>
      </c>
      <c r="C52" s="526"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529"/>
      <c r="B53" s="526"/>
      <c r="C53" s="526"/>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529"/>
      <c r="B54" s="526"/>
      <c r="C54" s="526"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529"/>
      <c r="B55" s="526"/>
      <c r="C55" s="526"/>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529"/>
      <c r="B56" s="526"/>
      <c r="C56" s="526"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529"/>
      <c r="B57" s="526"/>
      <c r="C57" s="526"/>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225">
        <v>1.3</v>
      </c>
      <c r="B58" s="537" t="s">
        <v>13</v>
      </c>
      <c r="C58" s="538"/>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529"/>
      <c r="B59" s="526" t="s">
        <v>77</v>
      </c>
      <c r="C59" s="526"/>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529"/>
      <c r="B60" s="526"/>
      <c r="C60" s="526"/>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529"/>
      <c r="B61" s="526" t="s">
        <v>118</v>
      </c>
      <c r="C61" s="526"/>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529"/>
      <c r="B62" s="526"/>
      <c r="C62" s="526"/>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529"/>
      <c r="B63" s="526" t="s">
        <v>120</v>
      </c>
      <c r="C63" s="526"/>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52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529"/>
      <c r="B65" s="526" t="s">
        <v>14</v>
      </c>
      <c r="C65" s="526"/>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529"/>
      <c r="B66" s="526"/>
      <c r="C66" s="526"/>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529"/>
      <c r="B67" s="536" t="s">
        <v>111</v>
      </c>
      <c r="C67" s="536"/>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529"/>
      <c r="B68" s="536"/>
      <c r="C68" s="536"/>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529"/>
      <c r="B69" s="526" t="s">
        <v>15</v>
      </c>
      <c r="C69" s="526"/>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529"/>
      <c r="B70" s="526"/>
      <c r="C70" s="526"/>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489" t="s">
        <v>124</v>
      </c>
      <c r="C71" s="489"/>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489"/>
      <c r="C72" s="489"/>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225">
        <v>1.4</v>
      </c>
      <c r="B73" s="537" t="s">
        <v>16</v>
      </c>
      <c r="C73" s="538"/>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529"/>
      <c r="B74" s="526" t="s">
        <v>17</v>
      </c>
      <c r="C74" s="526"/>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529"/>
      <c r="B75" s="526"/>
      <c r="C75" s="526"/>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529"/>
      <c r="B76" s="539" t="s">
        <v>82</v>
      </c>
      <c r="C76" s="539"/>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529"/>
      <c r="B77" s="539" t="s">
        <v>83</v>
      </c>
      <c r="C77" s="539"/>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529"/>
      <c r="B78" s="526" t="s">
        <v>18</v>
      </c>
      <c r="C78" s="526"/>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529"/>
      <c r="B79" s="526"/>
      <c r="C79" s="526"/>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225">
        <v>1.5</v>
      </c>
      <c r="B80" s="537" t="s">
        <v>19</v>
      </c>
      <c r="C80" s="538"/>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232" t="s">
        <v>41</v>
      </c>
      <c r="B81" s="540" t="s">
        <v>20</v>
      </c>
      <c r="C81" s="540"/>
      <c r="D81" s="204"/>
      <c r="E81" s="184"/>
      <c r="F81" s="184"/>
      <c r="G81" s="184"/>
      <c r="H81" s="184"/>
      <c r="I81" s="202"/>
      <c r="J81" s="202"/>
      <c r="K81" s="184"/>
      <c r="L81" s="184"/>
      <c r="M81" s="184"/>
      <c r="N81" s="184"/>
      <c r="O81" s="202"/>
      <c r="P81" s="202"/>
      <c r="Q81" s="184"/>
      <c r="R81" s="184"/>
      <c r="S81" s="184"/>
      <c r="T81" s="184"/>
      <c r="U81" s="202"/>
      <c r="V81" s="202"/>
      <c r="W81" s="184"/>
      <c r="X81" s="184"/>
      <c r="Y81" s="184"/>
      <c r="Z81" s="184"/>
      <c r="AA81" s="202"/>
      <c r="AB81" s="202"/>
      <c r="AC81" s="184"/>
      <c r="AD81" s="184"/>
      <c r="AE81" s="184"/>
      <c r="AF81" s="184"/>
      <c r="AG81" s="202"/>
      <c r="AH81" s="202"/>
    </row>
    <row r="82" spans="1:34" ht="27.75" customHeight="1" x14ac:dyDescent="0.2">
      <c r="A82" s="529"/>
      <c r="B82" s="230" t="s">
        <v>95</v>
      </c>
      <c r="C82" s="34"/>
      <c r="D82" s="24" t="s">
        <v>135</v>
      </c>
      <c r="E82" s="190">
        <v>20</v>
      </c>
      <c r="F82" s="190">
        <v>20</v>
      </c>
      <c r="G82" s="190">
        <v>20</v>
      </c>
      <c r="H82" s="190">
        <v>20</v>
      </c>
      <c r="I82" s="190"/>
      <c r="J82" s="190">
        <v>80</v>
      </c>
      <c r="K82" s="206">
        <v>20</v>
      </c>
      <c r="L82" s="206">
        <v>20</v>
      </c>
      <c r="M82" s="206">
        <v>20</v>
      </c>
      <c r="N82" s="206">
        <v>20</v>
      </c>
      <c r="O82" s="206"/>
      <c r="P82" s="190">
        <v>80</v>
      </c>
      <c r="Q82" s="206">
        <v>20</v>
      </c>
      <c r="R82" s="206">
        <v>20</v>
      </c>
      <c r="S82" s="206">
        <v>20</v>
      </c>
      <c r="T82" s="206">
        <v>20</v>
      </c>
      <c r="U82" s="190"/>
      <c r="V82" s="190">
        <v>80</v>
      </c>
      <c r="W82" s="206">
        <v>20</v>
      </c>
      <c r="X82" s="206">
        <v>20</v>
      </c>
      <c r="Y82" s="206">
        <v>20</v>
      </c>
      <c r="Z82" s="206">
        <v>20</v>
      </c>
      <c r="AA82" s="206"/>
      <c r="AB82" s="190">
        <v>80</v>
      </c>
      <c r="AC82" s="206">
        <v>20</v>
      </c>
      <c r="AD82" s="206">
        <v>20</v>
      </c>
      <c r="AE82" s="206">
        <v>20</v>
      </c>
      <c r="AF82" s="206">
        <v>20</v>
      </c>
      <c r="AG82" s="190"/>
      <c r="AH82" s="190">
        <v>80</v>
      </c>
    </row>
    <row r="83" spans="1:34" ht="15.75" customHeight="1" x14ac:dyDescent="0.2">
      <c r="A83" s="529"/>
      <c r="B83" s="526" t="s">
        <v>84</v>
      </c>
      <c r="C83" s="52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529"/>
      <c r="B84" s="526"/>
      <c r="C84" s="52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529"/>
      <c r="B85" s="526"/>
      <c r="C85" s="52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529"/>
      <c r="B86" s="526"/>
      <c r="C86" s="52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529"/>
      <c r="B87" s="526"/>
      <c r="C87" s="52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529"/>
      <c r="B88" s="526"/>
      <c r="C88" s="52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529"/>
      <c r="B89" s="526" t="s">
        <v>96</v>
      </c>
      <c r="C89" s="52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ht="15.75" customHeight="1" x14ac:dyDescent="0.2">
      <c r="A90" s="529"/>
      <c r="B90" s="285"/>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ht="15.75" customHeight="1" x14ac:dyDescent="0.2">
      <c r="A91" s="529"/>
      <c r="B91" s="285"/>
      <c r="C91" s="52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529"/>
      <c r="B92" s="285"/>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529"/>
      <c r="B93" s="285"/>
      <c r="C93" s="52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529"/>
      <c r="B94" s="285"/>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529"/>
      <c r="B95" s="526" t="s">
        <v>97</v>
      </c>
      <c r="C95" s="265"/>
      <c r="D95" s="24" t="s">
        <v>135</v>
      </c>
      <c r="E95" s="206">
        <v>23</v>
      </c>
      <c r="F95" s="206">
        <v>23</v>
      </c>
      <c r="G95" s="206">
        <v>23</v>
      </c>
      <c r="H95" s="206">
        <v>26</v>
      </c>
      <c r="I95" s="190"/>
      <c r="J95" s="190">
        <v>95</v>
      </c>
      <c r="K95" s="190">
        <v>23</v>
      </c>
      <c r="L95" s="190">
        <v>23</v>
      </c>
      <c r="M95" s="190">
        <v>23</v>
      </c>
      <c r="N95" s="190">
        <v>26</v>
      </c>
      <c r="O95" s="190"/>
      <c r="P95" s="190">
        <v>95</v>
      </c>
      <c r="Q95" s="206">
        <v>23</v>
      </c>
      <c r="R95" s="206">
        <v>23</v>
      </c>
      <c r="S95" s="206">
        <v>23</v>
      </c>
      <c r="T95" s="206">
        <v>26</v>
      </c>
      <c r="U95" s="190"/>
      <c r="V95" s="190">
        <v>95</v>
      </c>
      <c r="W95" s="206">
        <v>23</v>
      </c>
      <c r="X95" s="206">
        <v>23</v>
      </c>
      <c r="Y95" s="206">
        <v>23</v>
      </c>
      <c r="Z95" s="206">
        <v>26</v>
      </c>
      <c r="AA95" s="206"/>
      <c r="AB95" s="190">
        <v>95</v>
      </c>
      <c r="AC95" s="206">
        <v>23</v>
      </c>
      <c r="AD95" s="206">
        <v>23</v>
      </c>
      <c r="AE95" s="206">
        <v>23</v>
      </c>
      <c r="AF95" s="206">
        <v>26</v>
      </c>
      <c r="AG95" s="190"/>
      <c r="AH95" s="190">
        <v>95</v>
      </c>
    </row>
    <row r="96" spans="1:34" ht="15.75" customHeight="1" x14ac:dyDescent="0.2">
      <c r="A96" s="529"/>
      <c r="B96" s="526" t="s">
        <v>85</v>
      </c>
      <c r="C96" s="52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529"/>
      <c r="B97" s="526"/>
      <c r="C97" s="52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529"/>
      <c r="B98" s="526"/>
      <c r="C98" s="52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529"/>
      <c r="B99" s="526"/>
      <c r="C99" s="52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529"/>
      <c r="B100" s="526"/>
      <c r="C100" s="52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529"/>
      <c r="B101" s="526"/>
      <c r="C101" s="52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529"/>
      <c r="B102" s="526" t="s">
        <v>98</v>
      </c>
      <c r="C102" s="52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529"/>
      <c r="B103" s="287"/>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529"/>
      <c r="B104" s="287"/>
      <c r="C104" s="52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529"/>
      <c r="B105" s="287"/>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529"/>
      <c r="B106" s="287"/>
      <c r="C106" s="52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529"/>
      <c r="B107" s="287"/>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225" t="s">
        <v>21</v>
      </c>
      <c r="B108" s="540" t="s">
        <v>22</v>
      </c>
      <c r="C108" s="5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30"/>
      <c r="B109" s="539" t="s">
        <v>23</v>
      </c>
      <c r="C109" s="539"/>
      <c r="D109" s="24" t="s">
        <v>135</v>
      </c>
      <c r="E109" s="181">
        <v>2</v>
      </c>
      <c r="F109" s="181">
        <v>2</v>
      </c>
      <c r="G109" s="181">
        <v>2</v>
      </c>
      <c r="H109" s="181">
        <v>4</v>
      </c>
      <c r="I109" s="188"/>
      <c r="J109" s="192">
        <v>10</v>
      </c>
      <c r="K109" s="181">
        <v>2</v>
      </c>
      <c r="L109" s="181">
        <v>2</v>
      </c>
      <c r="M109" s="181">
        <v>2</v>
      </c>
      <c r="N109" s="181">
        <v>4</v>
      </c>
      <c r="O109" s="188"/>
      <c r="P109" s="192">
        <v>10</v>
      </c>
      <c r="Q109" s="181">
        <v>2</v>
      </c>
      <c r="R109" s="181">
        <v>2</v>
      </c>
      <c r="S109" s="181">
        <v>2</v>
      </c>
      <c r="T109" s="181">
        <v>4</v>
      </c>
      <c r="U109" s="188"/>
      <c r="V109" s="192">
        <v>10</v>
      </c>
      <c r="W109" s="181">
        <v>2</v>
      </c>
      <c r="X109" s="181">
        <v>2</v>
      </c>
      <c r="Y109" s="181">
        <v>2</v>
      </c>
      <c r="Z109" s="181">
        <v>4</v>
      </c>
      <c r="AA109" s="188"/>
      <c r="AB109" s="192">
        <v>10</v>
      </c>
      <c r="AC109" s="181">
        <v>2</v>
      </c>
      <c r="AD109" s="181">
        <v>2</v>
      </c>
      <c r="AE109" s="181">
        <v>2</v>
      </c>
      <c r="AF109" s="181">
        <v>4</v>
      </c>
      <c r="AG109" s="188"/>
      <c r="AH109" s="192">
        <v>10</v>
      </c>
    </row>
    <row r="110" spans="1:34" x14ac:dyDescent="0.2">
      <c r="A110" s="530"/>
      <c r="B110" s="536"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30"/>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30"/>
      <c r="B112" s="526" t="s">
        <v>136</v>
      </c>
      <c r="C112" s="52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30"/>
      <c r="B113" s="526"/>
      <c r="C113" s="52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30"/>
      <c r="B114" s="526"/>
      <c r="C114" s="52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30"/>
      <c r="B115" s="526"/>
      <c r="C115" s="52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30"/>
      <c r="B116" s="526"/>
      <c r="C116" s="52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30"/>
      <c r="B117" s="526"/>
      <c r="C117" s="52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30"/>
      <c r="B118" s="526" t="s">
        <v>86</v>
      </c>
      <c r="C118" s="52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30"/>
      <c r="B119" s="526"/>
      <c r="C119" s="52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30"/>
      <c r="B120" s="526"/>
      <c r="C120" s="52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30"/>
      <c r="B121" s="526"/>
      <c r="C121" s="52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30"/>
      <c r="B122" s="526"/>
      <c r="C122" s="52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30"/>
      <c r="B123" s="526"/>
      <c r="C123" s="52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225" t="s">
        <v>24</v>
      </c>
      <c r="B124" s="542" t="s">
        <v>25</v>
      </c>
      <c r="C124" s="543"/>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529"/>
      <c r="B125" s="526" t="s">
        <v>137</v>
      </c>
      <c r="C125" s="52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529"/>
      <c r="B126" s="526"/>
      <c r="C126" s="52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529"/>
      <c r="B127" s="526"/>
      <c r="C127" s="52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529"/>
      <c r="B128" s="526"/>
      <c r="C128" s="52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529"/>
      <c r="B129" s="526"/>
      <c r="C129" s="52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529"/>
      <c r="B130" s="526"/>
      <c r="C130" s="52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529"/>
      <c r="B131" s="526" t="s">
        <v>138</v>
      </c>
      <c r="C131" s="52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529"/>
      <c r="B132" s="526"/>
      <c r="C132" s="52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529"/>
      <c r="B133" s="526"/>
      <c r="C133" s="52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529"/>
      <c r="B134" s="526"/>
      <c r="C134" s="52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529"/>
      <c r="B135" s="526"/>
      <c r="C135" s="52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529"/>
      <c r="B136" s="526"/>
      <c r="C136" s="52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529"/>
      <c r="B137" s="526" t="s">
        <v>87</v>
      </c>
      <c r="C137" s="523"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529"/>
      <c r="B138" s="526"/>
      <c r="C138" s="523"/>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529"/>
      <c r="B139" s="526"/>
      <c r="C139" s="523"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529"/>
      <c r="B140" s="526"/>
      <c r="C140" s="523"/>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529"/>
      <c r="B141" s="526"/>
      <c r="C141" s="523"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529"/>
      <c r="B142" s="526"/>
      <c r="C142" s="523"/>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529"/>
      <c r="B143" s="526" t="s">
        <v>139</v>
      </c>
      <c r="C143" s="231"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20.399999999999999" x14ac:dyDescent="0.2">
      <c r="A144" s="529"/>
      <c r="B144" s="526"/>
      <c r="C144" s="231"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ht="20.399999999999999" x14ac:dyDescent="0.2">
      <c r="A145" s="529"/>
      <c r="B145" s="526"/>
      <c r="C145" s="231"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529"/>
      <c r="B146" s="526" t="s">
        <v>140</v>
      </c>
      <c r="C146" s="52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529"/>
      <c r="B147" s="526"/>
      <c r="C147" s="52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529"/>
      <c r="B148" s="526"/>
      <c r="C148" s="523"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529"/>
      <c r="B149" s="526"/>
      <c r="C149" s="523"/>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529"/>
      <c r="B150" s="526"/>
      <c r="C150" s="52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529"/>
      <c r="B151" s="526"/>
      <c r="C151" s="52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225">
        <v>1.6</v>
      </c>
      <c r="B152" s="541" t="s">
        <v>27</v>
      </c>
      <c r="C152" s="541"/>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530"/>
      <c r="B153" s="526" t="s">
        <v>126</v>
      </c>
      <c r="C153" s="52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530"/>
      <c r="B154" s="526"/>
      <c r="C154" s="52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530"/>
      <c r="B155" s="526"/>
      <c r="C155" s="52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530"/>
      <c r="B156" s="526"/>
      <c r="C156" s="52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530"/>
      <c r="B157" s="526"/>
      <c r="C157" s="52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530"/>
      <c r="B158" s="526"/>
      <c r="C158" s="52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530"/>
      <c r="B159" s="526" t="s">
        <v>127</v>
      </c>
      <c r="C159" s="52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530"/>
      <c r="B160" s="526"/>
      <c r="C160" s="52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530"/>
      <c r="B161" s="526"/>
      <c r="C161" s="52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530"/>
      <c r="B162" s="526"/>
      <c r="C162" s="52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530"/>
      <c r="B163" s="526"/>
      <c r="C163" s="52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530"/>
      <c r="B164" s="526"/>
      <c r="C164" s="52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530"/>
      <c r="B165" s="526" t="s">
        <v>128</v>
      </c>
      <c r="C165" s="523"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530"/>
      <c r="B166" s="526"/>
      <c r="C166" s="523"/>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530"/>
      <c r="B167" s="526"/>
      <c r="C167" s="523"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530"/>
      <c r="B168" s="526"/>
      <c r="C168" s="523"/>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530"/>
      <c r="B169" s="526"/>
      <c r="C169" s="523"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530"/>
      <c r="B170" s="526"/>
      <c r="C170" s="523"/>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530"/>
      <c r="B171" s="523" t="s">
        <v>88</v>
      </c>
      <c r="C171" s="523"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530"/>
      <c r="B172" s="523"/>
      <c r="C172" s="523"/>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530"/>
      <c r="B173" s="523"/>
      <c r="C173" s="523"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530"/>
      <c r="B174" s="523"/>
      <c r="C174" s="523"/>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530"/>
      <c r="B175" s="523"/>
      <c r="C175" s="523"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530"/>
      <c r="B176" s="523"/>
      <c r="C176" s="523"/>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530"/>
      <c r="B177" s="523" t="s">
        <v>141</v>
      </c>
      <c r="C177" s="523"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530"/>
      <c r="B178" s="523"/>
      <c r="C178" s="523"/>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530"/>
      <c r="B179" s="523"/>
      <c r="C179" s="523"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530"/>
      <c r="B180" s="523"/>
      <c r="C180" s="523"/>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530"/>
      <c r="B181" s="523"/>
      <c r="C181" s="523"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530"/>
      <c r="B182" s="523"/>
      <c r="C182" s="523"/>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5.75" customHeight="1" x14ac:dyDescent="0.2">
      <c r="A183" s="530"/>
      <c r="B183" s="523" t="s">
        <v>89</v>
      </c>
      <c r="C183" s="523"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530"/>
      <c r="B184" s="523"/>
      <c r="C184" s="523"/>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530"/>
      <c r="B185" s="523"/>
      <c r="C185" s="526"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530"/>
      <c r="B186" s="523"/>
      <c r="C186" s="526"/>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530"/>
      <c r="B187" s="523"/>
      <c r="C187" s="526"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530"/>
      <c r="B188" s="523"/>
      <c r="C188" s="526"/>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225">
        <v>1.7</v>
      </c>
      <c r="B189" s="537" t="s">
        <v>28</v>
      </c>
      <c r="C189" s="538"/>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529"/>
      <c r="B190" s="526" t="s">
        <v>90</v>
      </c>
      <c r="C190" s="526"/>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529"/>
      <c r="B191" s="526"/>
      <c r="C191" s="526"/>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529"/>
      <c r="B192" s="526" t="s">
        <v>91</v>
      </c>
      <c r="C192" s="526"/>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529"/>
      <c r="B193" s="526"/>
      <c r="C193" s="526"/>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236">
        <v>2</v>
      </c>
      <c r="B194" s="524" t="s">
        <v>29</v>
      </c>
      <c r="C194" s="524"/>
      <c r="D194" s="219"/>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row>
    <row r="195" spans="1:34" ht="15.75" customHeight="1" x14ac:dyDescent="0.2">
      <c r="A195" s="236">
        <v>2.1</v>
      </c>
      <c r="B195" s="542" t="s">
        <v>30</v>
      </c>
      <c r="C195" s="543"/>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529"/>
      <c r="B196" s="525" t="s">
        <v>142</v>
      </c>
      <c r="C196" s="525"/>
      <c r="D196" s="273" t="s">
        <v>78</v>
      </c>
      <c r="E196" s="454">
        <v>7.1499999999999994E-2</v>
      </c>
      <c r="F196" s="454">
        <v>7.1499999999999994E-2</v>
      </c>
      <c r="G196" s="454">
        <v>7.1499999999999994E-2</v>
      </c>
      <c r="H196" s="454">
        <v>7.1499999999999994E-2</v>
      </c>
      <c r="I196" s="197"/>
      <c r="J196" s="454">
        <v>7.1499999999999994E-2</v>
      </c>
      <c r="K196" s="454">
        <v>7.1499999999999994E-2</v>
      </c>
      <c r="L196" s="454">
        <v>7.1499999999999994E-2</v>
      </c>
      <c r="M196" s="454">
        <v>7.1499999999999994E-2</v>
      </c>
      <c r="N196" s="454">
        <v>7.1499999999999994E-2</v>
      </c>
      <c r="O196" s="197"/>
      <c r="P196" s="454">
        <v>7.1499999999999994E-2</v>
      </c>
      <c r="Q196" s="454">
        <v>7.1499999999999994E-2</v>
      </c>
      <c r="R196" s="454">
        <v>7.1499999999999994E-2</v>
      </c>
      <c r="S196" s="454">
        <v>7.1499999999999994E-2</v>
      </c>
      <c r="T196" s="454">
        <v>7.1499999999999994E-2</v>
      </c>
      <c r="U196" s="197"/>
      <c r="V196" s="454">
        <v>7.1499999999999994E-2</v>
      </c>
      <c r="W196" s="454">
        <v>7.1499999999999994E-2</v>
      </c>
      <c r="X196" s="454">
        <v>7.1499999999999994E-2</v>
      </c>
      <c r="Y196" s="454">
        <v>7.1499999999999994E-2</v>
      </c>
      <c r="Z196" s="454">
        <v>7.1499999999999994E-2</v>
      </c>
      <c r="AA196" s="197"/>
      <c r="AB196" s="454">
        <v>7.1499999999999994E-2</v>
      </c>
      <c r="AC196" s="454">
        <v>7.1499999999999994E-2</v>
      </c>
      <c r="AD196" s="454">
        <v>7.1499999999999994E-2</v>
      </c>
      <c r="AE196" s="454">
        <v>7.1499999999999994E-2</v>
      </c>
      <c r="AF196" s="454">
        <v>7.1499999999999994E-2</v>
      </c>
      <c r="AG196" s="185"/>
      <c r="AH196" s="454">
        <v>7.1499999999999994E-2</v>
      </c>
    </row>
    <row r="197" spans="1:34" ht="68.400000000000006" customHeight="1" x14ac:dyDescent="0.2">
      <c r="A197" s="529"/>
      <c r="B197" s="525"/>
      <c r="C197" s="525"/>
      <c r="D197" s="273"/>
      <c r="E197" s="454"/>
      <c r="F197" s="454"/>
      <c r="G197" s="454"/>
      <c r="H197" s="454"/>
      <c r="I197" s="197"/>
      <c r="J197" s="454"/>
      <c r="K197" s="454"/>
      <c r="L197" s="454"/>
      <c r="M197" s="454"/>
      <c r="N197" s="454"/>
      <c r="O197" s="197"/>
      <c r="P197" s="454"/>
      <c r="Q197" s="454"/>
      <c r="R197" s="454"/>
      <c r="S197" s="454"/>
      <c r="T197" s="454"/>
      <c r="U197" s="197"/>
      <c r="V197" s="454"/>
      <c r="W197" s="454"/>
      <c r="X197" s="454"/>
      <c r="Y197" s="454"/>
      <c r="Z197" s="454"/>
      <c r="AA197" s="197"/>
      <c r="AB197" s="454"/>
      <c r="AC197" s="454"/>
      <c r="AD197" s="454"/>
      <c r="AE197" s="454"/>
      <c r="AF197" s="454"/>
      <c r="AG197" s="185"/>
      <c r="AH197" s="454"/>
    </row>
    <row r="198" spans="1:34" ht="15.75" customHeight="1" x14ac:dyDescent="0.2">
      <c r="A198" s="529"/>
      <c r="B198" s="534" t="s">
        <v>146</v>
      </c>
      <c r="C198" s="534"/>
      <c r="D198" s="273" t="s">
        <v>78</v>
      </c>
      <c r="E198" s="451">
        <v>1</v>
      </c>
      <c r="F198" s="451">
        <v>1</v>
      </c>
      <c r="G198" s="451">
        <v>1</v>
      </c>
      <c r="H198" s="451">
        <v>1</v>
      </c>
      <c r="I198" s="179"/>
      <c r="J198" s="451">
        <v>1</v>
      </c>
      <c r="K198" s="451">
        <v>1</v>
      </c>
      <c r="L198" s="451">
        <v>1</v>
      </c>
      <c r="M198" s="451">
        <v>1</v>
      </c>
      <c r="N198" s="451">
        <v>1</v>
      </c>
      <c r="O198" s="179"/>
      <c r="P198" s="451">
        <v>1</v>
      </c>
      <c r="Q198" s="451">
        <v>1</v>
      </c>
      <c r="R198" s="451">
        <v>1</v>
      </c>
      <c r="S198" s="451">
        <v>1</v>
      </c>
      <c r="T198" s="451">
        <v>1</v>
      </c>
      <c r="U198" s="179"/>
      <c r="V198" s="451">
        <v>1</v>
      </c>
      <c r="W198" s="451">
        <f>23.455/(23.455+5.466)</f>
        <v>0.81100238580961925</v>
      </c>
      <c r="X198" s="451">
        <f>23.455/(23.455+5.466)</f>
        <v>0.81100238580961925</v>
      </c>
      <c r="Y198" s="451">
        <f>23.455/(23.455+5.466)</f>
        <v>0.81100238580961925</v>
      </c>
      <c r="Z198" s="451">
        <f>23.455/(23.455+5.466)</f>
        <v>0.81100238580961925</v>
      </c>
      <c r="AA198" s="179"/>
      <c r="AB198" s="451">
        <f>23.455/(23.455+5.466)</f>
        <v>0.81100238580961925</v>
      </c>
      <c r="AC198" s="451">
        <v>1</v>
      </c>
      <c r="AD198" s="451">
        <v>1</v>
      </c>
      <c r="AE198" s="451">
        <v>1</v>
      </c>
      <c r="AF198" s="451">
        <v>1</v>
      </c>
      <c r="AG198" s="179"/>
      <c r="AH198" s="451">
        <v>1</v>
      </c>
    </row>
    <row r="199" spans="1:34" ht="26.25" customHeight="1" x14ac:dyDescent="0.2">
      <c r="A199" s="529"/>
      <c r="B199" s="534"/>
      <c r="C199" s="534"/>
      <c r="D199" s="273"/>
      <c r="E199" s="451"/>
      <c r="F199" s="451"/>
      <c r="G199" s="451"/>
      <c r="H199" s="451"/>
      <c r="I199" s="179"/>
      <c r="J199" s="451"/>
      <c r="K199" s="451"/>
      <c r="L199" s="451"/>
      <c r="M199" s="451"/>
      <c r="N199" s="451"/>
      <c r="O199" s="179"/>
      <c r="P199" s="451"/>
      <c r="Q199" s="451"/>
      <c r="R199" s="451"/>
      <c r="S199" s="451"/>
      <c r="T199" s="451"/>
      <c r="U199" s="179"/>
      <c r="V199" s="451"/>
      <c r="W199" s="451"/>
      <c r="X199" s="451"/>
      <c r="Y199" s="451"/>
      <c r="Z199" s="451"/>
      <c r="AA199" s="179"/>
      <c r="AB199" s="451"/>
      <c r="AC199" s="451"/>
      <c r="AD199" s="451"/>
      <c r="AE199" s="451"/>
      <c r="AF199" s="451"/>
      <c r="AG199" s="179"/>
      <c r="AH199" s="451"/>
    </row>
    <row r="200" spans="1:34" ht="15.75" customHeight="1" x14ac:dyDescent="0.2">
      <c r="A200" s="529"/>
      <c r="B200" s="534" t="s">
        <v>147</v>
      </c>
      <c r="C200" s="534"/>
      <c r="D200" s="25" t="s">
        <v>100</v>
      </c>
      <c r="E200" s="453">
        <v>0.4</v>
      </c>
      <c r="F200" s="453">
        <v>0.4</v>
      </c>
      <c r="G200" s="453">
        <v>0.4</v>
      </c>
      <c r="H200" s="453">
        <v>0.4</v>
      </c>
      <c r="I200" s="188"/>
      <c r="J200" s="453">
        <v>0.4</v>
      </c>
      <c r="K200" s="453">
        <v>0.4</v>
      </c>
      <c r="L200" s="453">
        <v>0.4</v>
      </c>
      <c r="M200" s="453">
        <v>0.4</v>
      </c>
      <c r="N200" s="453">
        <v>0.4</v>
      </c>
      <c r="O200" s="188"/>
      <c r="P200" s="453">
        <v>0.4</v>
      </c>
      <c r="Q200" s="453">
        <v>0.4</v>
      </c>
      <c r="R200" s="453">
        <v>0.4</v>
      </c>
      <c r="S200" s="453">
        <v>0.4</v>
      </c>
      <c r="T200" s="453">
        <v>0.4</v>
      </c>
      <c r="U200" s="188"/>
      <c r="V200" s="453">
        <v>0.4</v>
      </c>
      <c r="W200" s="453">
        <v>0.4</v>
      </c>
      <c r="X200" s="453">
        <v>0.4</v>
      </c>
      <c r="Y200" s="453">
        <v>0.4</v>
      </c>
      <c r="Z200" s="453">
        <v>0.4</v>
      </c>
      <c r="AA200" s="188"/>
      <c r="AB200" s="453">
        <v>0.4</v>
      </c>
      <c r="AC200" s="453">
        <v>0.4</v>
      </c>
      <c r="AD200" s="453">
        <v>0.4</v>
      </c>
      <c r="AE200" s="453">
        <v>0.4</v>
      </c>
      <c r="AF200" s="453">
        <v>0.4</v>
      </c>
      <c r="AG200" s="188"/>
      <c r="AH200" s="453">
        <v>0.4</v>
      </c>
    </row>
    <row r="201" spans="1:34" ht="26.25" customHeight="1" x14ac:dyDescent="0.2">
      <c r="A201" s="529"/>
      <c r="B201" s="534"/>
      <c r="C201" s="534"/>
      <c r="D201" s="46" t="s">
        <v>31</v>
      </c>
      <c r="E201" s="251"/>
      <c r="F201" s="251"/>
      <c r="G201" s="251"/>
      <c r="H201" s="251"/>
      <c r="I201" s="188"/>
      <c r="J201" s="251"/>
      <c r="K201" s="251"/>
      <c r="L201" s="251"/>
      <c r="M201" s="251"/>
      <c r="N201" s="251"/>
      <c r="O201" s="188"/>
      <c r="P201" s="251"/>
      <c r="Q201" s="251"/>
      <c r="R201" s="251"/>
      <c r="S201" s="251"/>
      <c r="T201" s="251"/>
      <c r="U201" s="188"/>
      <c r="V201" s="251"/>
      <c r="W201" s="251"/>
      <c r="X201" s="251"/>
      <c r="Y201" s="251"/>
      <c r="Z201" s="251"/>
      <c r="AA201" s="188"/>
      <c r="AB201" s="251"/>
      <c r="AC201" s="251"/>
      <c r="AD201" s="251"/>
      <c r="AE201" s="251"/>
      <c r="AF201" s="251"/>
      <c r="AG201" s="188"/>
      <c r="AH201" s="251"/>
    </row>
    <row r="202" spans="1:34" ht="15.75" customHeight="1" x14ac:dyDescent="0.2">
      <c r="A202" s="529"/>
      <c r="B202" s="526" t="s">
        <v>42</v>
      </c>
      <c r="C202" s="526" t="s">
        <v>26</v>
      </c>
      <c r="D202" s="273" t="s">
        <v>78</v>
      </c>
      <c r="E202" s="452">
        <v>1</v>
      </c>
      <c r="F202" s="452">
        <v>1</v>
      </c>
      <c r="G202" s="452">
        <v>1</v>
      </c>
      <c r="H202" s="452">
        <v>1</v>
      </c>
      <c r="I202" s="188"/>
      <c r="J202" s="452">
        <v>1</v>
      </c>
      <c r="K202" s="452">
        <v>1</v>
      </c>
      <c r="L202" s="452">
        <v>1</v>
      </c>
      <c r="M202" s="452">
        <v>1</v>
      </c>
      <c r="N202" s="452">
        <v>1</v>
      </c>
      <c r="O202" s="188"/>
      <c r="P202" s="452">
        <v>1</v>
      </c>
      <c r="Q202" s="452">
        <v>1</v>
      </c>
      <c r="R202" s="452">
        <v>1</v>
      </c>
      <c r="S202" s="452">
        <v>1</v>
      </c>
      <c r="T202" s="452">
        <v>1</v>
      </c>
      <c r="U202" s="188"/>
      <c r="V202" s="452">
        <v>1</v>
      </c>
      <c r="W202" s="452">
        <v>1</v>
      </c>
      <c r="X202" s="452">
        <v>1</v>
      </c>
      <c r="Y202" s="452">
        <v>1</v>
      </c>
      <c r="Z202" s="452">
        <v>1</v>
      </c>
      <c r="AA202" s="188"/>
      <c r="AB202" s="452">
        <v>1</v>
      </c>
      <c r="AC202" s="452">
        <v>1</v>
      </c>
      <c r="AD202" s="452">
        <v>1</v>
      </c>
      <c r="AE202" s="452">
        <v>1</v>
      </c>
      <c r="AF202" s="452">
        <v>1</v>
      </c>
      <c r="AG202" s="188"/>
      <c r="AH202" s="452">
        <v>1</v>
      </c>
    </row>
    <row r="203" spans="1:34" ht="15.75" customHeight="1" x14ac:dyDescent="0.2">
      <c r="A203" s="529"/>
      <c r="B203" s="526"/>
      <c r="C203" s="526"/>
      <c r="D203" s="273"/>
      <c r="E203" s="452"/>
      <c r="F203" s="452"/>
      <c r="G203" s="452"/>
      <c r="H203" s="452"/>
      <c r="I203" s="188"/>
      <c r="J203" s="452"/>
      <c r="K203" s="452"/>
      <c r="L203" s="452"/>
      <c r="M203" s="452"/>
      <c r="N203" s="452"/>
      <c r="O203" s="188"/>
      <c r="P203" s="452"/>
      <c r="Q203" s="452"/>
      <c r="R203" s="452"/>
      <c r="S203" s="452"/>
      <c r="T203" s="452"/>
      <c r="U203" s="188"/>
      <c r="V203" s="452"/>
      <c r="W203" s="452"/>
      <c r="X203" s="452"/>
      <c r="Y203" s="452"/>
      <c r="Z203" s="452"/>
      <c r="AA203" s="188"/>
      <c r="AB203" s="452"/>
      <c r="AC203" s="452"/>
      <c r="AD203" s="452"/>
      <c r="AE203" s="452"/>
      <c r="AF203" s="452"/>
      <c r="AG203" s="188"/>
      <c r="AH203" s="452"/>
    </row>
    <row r="204" spans="1:34" ht="15.75" customHeight="1" x14ac:dyDescent="0.2">
      <c r="A204" s="529"/>
      <c r="B204" s="526"/>
      <c r="C204" s="526" t="s">
        <v>7</v>
      </c>
      <c r="D204" s="273" t="s">
        <v>78</v>
      </c>
      <c r="E204" s="452">
        <v>1</v>
      </c>
      <c r="F204" s="452">
        <v>1</v>
      </c>
      <c r="G204" s="452">
        <v>1</v>
      </c>
      <c r="H204" s="452">
        <v>1</v>
      </c>
      <c r="I204" s="188"/>
      <c r="J204" s="452">
        <v>1</v>
      </c>
      <c r="K204" s="452">
        <v>1</v>
      </c>
      <c r="L204" s="452">
        <v>1</v>
      </c>
      <c r="M204" s="452">
        <v>1</v>
      </c>
      <c r="N204" s="452">
        <v>1</v>
      </c>
      <c r="O204" s="188"/>
      <c r="P204" s="452">
        <v>1</v>
      </c>
      <c r="Q204" s="452">
        <v>1</v>
      </c>
      <c r="R204" s="452">
        <v>1</v>
      </c>
      <c r="S204" s="452">
        <v>1</v>
      </c>
      <c r="T204" s="452">
        <v>1</v>
      </c>
      <c r="U204" s="188"/>
      <c r="V204" s="452">
        <v>1</v>
      </c>
      <c r="W204" s="452">
        <v>1</v>
      </c>
      <c r="X204" s="452">
        <v>1</v>
      </c>
      <c r="Y204" s="452">
        <v>1</v>
      </c>
      <c r="Z204" s="452">
        <v>1</v>
      </c>
      <c r="AA204" s="188"/>
      <c r="AB204" s="452">
        <v>1</v>
      </c>
      <c r="AC204" s="452">
        <v>1</v>
      </c>
      <c r="AD204" s="452">
        <v>1</v>
      </c>
      <c r="AE204" s="452">
        <v>1</v>
      </c>
      <c r="AF204" s="452">
        <v>1</v>
      </c>
      <c r="AG204" s="188"/>
      <c r="AH204" s="452">
        <v>1</v>
      </c>
    </row>
    <row r="205" spans="1:34" ht="15.75" customHeight="1" x14ac:dyDescent="0.2">
      <c r="A205" s="529"/>
      <c r="B205" s="526"/>
      <c r="C205" s="526"/>
      <c r="D205" s="273"/>
      <c r="E205" s="452"/>
      <c r="F205" s="452"/>
      <c r="G205" s="452"/>
      <c r="H205" s="452"/>
      <c r="I205" s="188"/>
      <c r="J205" s="452"/>
      <c r="K205" s="452"/>
      <c r="L205" s="452"/>
      <c r="M205" s="452"/>
      <c r="N205" s="452"/>
      <c r="O205" s="188"/>
      <c r="P205" s="452"/>
      <c r="Q205" s="452"/>
      <c r="R205" s="452"/>
      <c r="S205" s="452"/>
      <c r="T205" s="452"/>
      <c r="U205" s="188"/>
      <c r="V205" s="452"/>
      <c r="W205" s="452"/>
      <c r="X205" s="452"/>
      <c r="Y205" s="452"/>
      <c r="Z205" s="452"/>
      <c r="AA205" s="188"/>
      <c r="AB205" s="452"/>
      <c r="AC205" s="452"/>
      <c r="AD205" s="452"/>
      <c r="AE205" s="452"/>
      <c r="AF205" s="452"/>
      <c r="AG205" s="188"/>
      <c r="AH205" s="452"/>
    </row>
    <row r="206" spans="1:34" ht="15.75" customHeight="1" x14ac:dyDescent="0.2">
      <c r="A206" s="529"/>
      <c r="B206" s="526"/>
      <c r="C206" s="526" t="s">
        <v>8</v>
      </c>
      <c r="D206" s="273" t="s">
        <v>78</v>
      </c>
      <c r="E206" s="452">
        <v>1</v>
      </c>
      <c r="F206" s="452">
        <v>1</v>
      </c>
      <c r="G206" s="452">
        <v>1</v>
      </c>
      <c r="H206" s="452">
        <v>1</v>
      </c>
      <c r="I206" s="188"/>
      <c r="J206" s="452">
        <v>1</v>
      </c>
      <c r="K206" s="452">
        <v>1</v>
      </c>
      <c r="L206" s="452">
        <v>1</v>
      </c>
      <c r="M206" s="452">
        <v>1</v>
      </c>
      <c r="N206" s="452">
        <v>1</v>
      </c>
      <c r="O206" s="188"/>
      <c r="P206" s="452">
        <v>1</v>
      </c>
      <c r="Q206" s="452">
        <v>1</v>
      </c>
      <c r="R206" s="452">
        <v>1</v>
      </c>
      <c r="S206" s="452">
        <v>1</v>
      </c>
      <c r="T206" s="452">
        <v>1</v>
      </c>
      <c r="U206" s="188"/>
      <c r="V206" s="452">
        <v>1</v>
      </c>
      <c r="W206" s="452">
        <v>1</v>
      </c>
      <c r="X206" s="452">
        <v>1</v>
      </c>
      <c r="Y206" s="452">
        <v>1</v>
      </c>
      <c r="Z206" s="452">
        <v>1</v>
      </c>
      <c r="AA206" s="188"/>
      <c r="AB206" s="452">
        <v>1</v>
      </c>
      <c r="AC206" s="452">
        <v>1</v>
      </c>
      <c r="AD206" s="452">
        <v>1</v>
      </c>
      <c r="AE206" s="452">
        <v>1</v>
      </c>
      <c r="AF206" s="452">
        <v>1</v>
      </c>
      <c r="AG206" s="188"/>
      <c r="AH206" s="452">
        <v>1</v>
      </c>
    </row>
    <row r="207" spans="1:34" ht="15.75" customHeight="1" x14ac:dyDescent="0.2">
      <c r="A207" s="529"/>
      <c r="B207" s="526"/>
      <c r="C207" s="526"/>
      <c r="D207" s="273"/>
      <c r="E207" s="452"/>
      <c r="F207" s="452"/>
      <c r="G207" s="452"/>
      <c r="H207" s="452"/>
      <c r="I207" s="188"/>
      <c r="J207" s="452"/>
      <c r="K207" s="452"/>
      <c r="L207" s="452"/>
      <c r="M207" s="452"/>
      <c r="N207" s="452"/>
      <c r="O207" s="188"/>
      <c r="P207" s="452"/>
      <c r="Q207" s="452"/>
      <c r="R207" s="452"/>
      <c r="S207" s="452"/>
      <c r="T207" s="452"/>
      <c r="U207" s="188"/>
      <c r="V207" s="452"/>
      <c r="W207" s="452"/>
      <c r="X207" s="452"/>
      <c r="Y207" s="452"/>
      <c r="Z207" s="452"/>
      <c r="AA207" s="188"/>
      <c r="AB207" s="452"/>
      <c r="AC207" s="452"/>
      <c r="AD207" s="452"/>
      <c r="AE207" s="452"/>
      <c r="AF207" s="452"/>
      <c r="AG207" s="188"/>
      <c r="AH207" s="452"/>
    </row>
    <row r="208" spans="1:34" ht="15.75" customHeight="1" x14ac:dyDescent="0.2">
      <c r="A208" s="529"/>
      <c r="B208" s="525" t="s">
        <v>130</v>
      </c>
      <c r="C208" s="525"/>
      <c r="D208" s="273" t="s">
        <v>78</v>
      </c>
      <c r="E208" s="452">
        <f>11.3/60.85</f>
        <v>0.18570254724732951</v>
      </c>
      <c r="F208" s="452">
        <f>11.3/60.85</f>
        <v>0.18570254724732951</v>
      </c>
      <c r="G208" s="452">
        <f>11.3/60.85</f>
        <v>0.18570254724732951</v>
      </c>
      <c r="H208" s="452">
        <f>11.3/60.85</f>
        <v>0.18570254724732951</v>
      </c>
      <c r="I208" s="179"/>
      <c r="J208" s="452">
        <f>11.3/60.85</f>
        <v>0.18570254724732951</v>
      </c>
      <c r="K208" s="452">
        <f>11.3/60.85</f>
        <v>0.18570254724732951</v>
      </c>
      <c r="L208" s="452">
        <f>11.3/60.85</f>
        <v>0.18570254724732951</v>
      </c>
      <c r="M208" s="452">
        <f>11.3/60.85</f>
        <v>0.18570254724732951</v>
      </c>
      <c r="N208" s="452">
        <f>11.3/60.85</f>
        <v>0.18570254724732951</v>
      </c>
      <c r="O208" s="179"/>
      <c r="P208" s="452">
        <f>11.3/60.85</f>
        <v>0.18570254724732951</v>
      </c>
      <c r="Q208" s="452">
        <f>11.3/60.85</f>
        <v>0.18570254724732951</v>
      </c>
      <c r="R208" s="452">
        <f>11.3/60.85</f>
        <v>0.18570254724732951</v>
      </c>
      <c r="S208" s="452">
        <f>11.3/60.85</f>
        <v>0.18570254724732951</v>
      </c>
      <c r="T208" s="452">
        <f>11.3/60.85</f>
        <v>0.18570254724732951</v>
      </c>
      <c r="U208" s="179"/>
      <c r="V208" s="452">
        <f>11.3/60.85</f>
        <v>0.18570254724732951</v>
      </c>
      <c r="W208" s="452">
        <f>(11.3+12.901)/60.85</f>
        <v>0.39771569433032045</v>
      </c>
      <c r="X208" s="452">
        <f>(11.3+12.901)/60.85</f>
        <v>0.39771569433032045</v>
      </c>
      <c r="Y208" s="452">
        <f>(11.3+12.901)/60.85</f>
        <v>0.39771569433032045</v>
      </c>
      <c r="Z208" s="452">
        <f>(11.3+12.901)/60.85</f>
        <v>0.39771569433032045</v>
      </c>
      <c r="AA208" s="179"/>
      <c r="AB208" s="452">
        <f>(11.3+12.901)/60.85</f>
        <v>0.39771569433032045</v>
      </c>
      <c r="AC208" s="452">
        <f>(11.3+12.901)/60.85</f>
        <v>0.39771569433032045</v>
      </c>
      <c r="AD208" s="452">
        <f>(11.3+12.901)/60.85</f>
        <v>0.39771569433032045</v>
      </c>
      <c r="AE208" s="452">
        <f>(11.3+12.901)/60.85</f>
        <v>0.39771569433032045</v>
      </c>
      <c r="AF208" s="452">
        <f>(11.3+12.901)/60.85</f>
        <v>0.39771569433032045</v>
      </c>
      <c r="AG208" s="179"/>
      <c r="AH208" s="452">
        <f>(11.3+12.901)/60.85</f>
        <v>0.39771569433032045</v>
      </c>
    </row>
    <row r="209" spans="1:34" ht="27.6" customHeight="1" x14ac:dyDescent="0.2">
      <c r="A209" s="529"/>
      <c r="B209" s="525"/>
      <c r="C209" s="525"/>
      <c r="D209" s="273"/>
      <c r="E209" s="452"/>
      <c r="F209" s="452"/>
      <c r="G209" s="452"/>
      <c r="H209" s="452"/>
      <c r="I209" s="179"/>
      <c r="J209" s="452"/>
      <c r="K209" s="452"/>
      <c r="L209" s="452"/>
      <c r="M209" s="452"/>
      <c r="N209" s="452"/>
      <c r="O209" s="179"/>
      <c r="P209" s="452"/>
      <c r="Q209" s="452"/>
      <c r="R209" s="452"/>
      <c r="S209" s="452"/>
      <c r="T209" s="452"/>
      <c r="U209" s="179"/>
      <c r="V209" s="452"/>
      <c r="W209" s="452"/>
      <c r="X209" s="452"/>
      <c r="Y209" s="452"/>
      <c r="Z209" s="452"/>
      <c r="AA209" s="179"/>
      <c r="AB209" s="452"/>
      <c r="AC209" s="452"/>
      <c r="AD209" s="452"/>
      <c r="AE209" s="452"/>
      <c r="AF209" s="452"/>
      <c r="AG209" s="179"/>
      <c r="AH209" s="452"/>
    </row>
    <row r="210" spans="1:34" ht="15.75" customHeight="1" x14ac:dyDescent="0.2">
      <c r="A210" s="529"/>
      <c r="B210" s="526" t="s">
        <v>131</v>
      </c>
      <c r="C210" s="526"/>
      <c r="D210" s="273" t="s">
        <v>78</v>
      </c>
      <c r="E210" s="452">
        <v>1</v>
      </c>
      <c r="F210" s="452">
        <v>1</v>
      </c>
      <c r="G210" s="452">
        <v>1</v>
      </c>
      <c r="H210" s="452">
        <v>1</v>
      </c>
      <c r="I210" s="179"/>
      <c r="J210" s="452">
        <v>1</v>
      </c>
      <c r="K210" s="452">
        <v>1</v>
      </c>
      <c r="L210" s="452">
        <v>1</v>
      </c>
      <c r="M210" s="452">
        <v>1</v>
      </c>
      <c r="N210" s="452">
        <v>1</v>
      </c>
      <c r="O210" s="179"/>
      <c r="P210" s="452">
        <v>1</v>
      </c>
      <c r="Q210" s="452">
        <v>1</v>
      </c>
      <c r="R210" s="452">
        <v>1</v>
      </c>
      <c r="S210" s="452">
        <v>1</v>
      </c>
      <c r="T210" s="452">
        <v>1</v>
      </c>
      <c r="U210" s="179"/>
      <c r="V210" s="452">
        <v>1</v>
      </c>
      <c r="W210" s="452">
        <v>1</v>
      </c>
      <c r="X210" s="452">
        <v>1</v>
      </c>
      <c r="Y210" s="452">
        <v>1</v>
      </c>
      <c r="Z210" s="452">
        <v>1</v>
      </c>
      <c r="AA210" s="179"/>
      <c r="AB210" s="452">
        <v>1</v>
      </c>
      <c r="AC210" s="452">
        <v>1</v>
      </c>
      <c r="AD210" s="452">
        <v>1</v>
      </c>
      <c r="AE210" s="452">
        <v>1</v>
      </c>
      <c r="AF210" s="452">
        <v>1</v>
      </c>
      <c r="AG210" s="179"/>
      <c r="AH210" s="452">
        <v>1</v>
      </c>
    </row>
    <row r="211" spans="1:34" ht="37.799999999999997" customHeight="1" x14ac:dyDescent="0.2">
      <c r="A211" s="529"/>
      <c r="B211" s="526"/>
      <c r="C211" s="526"/>
      <c r="D211" s="273"/>
      <c r="E211" s="452"/>
      <c r="F211" s="452"/>
      <c r="G211" s="452"/>
      <c r="H211" s="452"/>
      <c r="I211" s="179"/>
      <c r="J211" s="452"/>
      <c r="K211" s="452"/>
      <c r="L211" s="452"/>
      <c r="M211" s="452"/>
      <c r="N211" s="452"/>
      <c r="O211" s="179"/>
      <c r="P211" s="452"/>
      <c r="Q211" s="452"/>
      <c r="R211" s="452"/>
      <c r="S211" s="452"/>
      <c r="T211" s="452"/>
      <c r="U211" s="179"/>
      <c r="V211" s="452"/>
      <c r="W211" s="452"/>
      <c r="X211" s="452"/>
      <c r="Y211" s="452"/>
      <c r="Z211" s="452"/>
      <c r="AA211" s="179"/>
      <c r="AB211" s="452"/>
      <c r="AC211" s="452"/>
      <c r="AD211" s="452"/>
      <c r="AE211" s="452"/>
      <c r="AF211" s="452"/>
      <c r="AG211" s="179"/>
      <c r="AH211" s="452"/>
    </row>
    <row r="212" spans="1:34" ht="21.75" customHeight="1" x14ac:dyDescent="0.2">
      <c r="A212" s="225">
        <v>2.2000000000000002</v>
      </c>
      <c r="B212" s="524" t="s">
        <v>33</v>
      </c>
      <c r="C212" s="524"/>
      <c r="D212" s="306"/>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F212" s="306"/>
      <c r="AG212" s="306"/>
      <c r="AH212" s="306"/>
    </row>
    <row r="213" spans="1:34" ht="15.75" customHeight="1" x14ac:dyDescent="0.2">
      <c r="A213" s="529"/>
      <c r="B213" s="526" t="s">
        <v>43</v>
      </c>
      <c r="C213" s="526"/>
      <c r="D213" s="273" t="s">
        <v>78</v>
      </c>
      <c r="E213" s="452">
        <f>10.177/37.25</f>
        <v>0.27320805369127515</v>
      </c>
      <c r="F213" s="452">
        <f>10.177/37.25</f>
        <v>0.27320805369127515</v>
      </c>
      <c r="G213" s="452">
        <f>10.177/37.25</f>
        <v>0.27320805369127515</v>
      </c>
      <c r="H213" s="452">
        <f>10.177/37.25</f>
        <v>0.27320805369127515</v>
      </c>
      <c r="I213" s="179"/>
      <c r="J213" s="452">
        <f>10.177/37.25</f>
        <v>0.27320805369127515</v>
      </c>
      <c r="K213" s="452">
        <f>10.177/37.25</f>
        <v>0.27320805369127515</v>
      </c>
      <c r="L213" s="452">
        <f>10.177/37.25</f>
        <v>0.27320805369127515</v>
      </c>
      <c r="M213" s="452">
        <f>10.177/37.25</f>
        <v>0.27320805369127515</v>
      </c>
      <c r="N213" s="452">
        <f>10.177/37.25</f>
        <v>0.27320805369127515</v>
      </c>
      <c r="O213" s="179"/>
      <c r="P213" s="452">
        <f>10.177/37.25</f>
        <v>0.27320805369127515</v>
      </c>
      <c r="Q213" s="452">
        <f>10.177/37.25</f>
        <v>0.27320805369127515</v>
      </c>
      <c r="R213" s="452">
        <f>10.177/37.25</f>
        <v>0.27320805369127515</v>
      </c>
      <c r="S213" s="452">
        <f>10.177/37.25</f>
        <v>0.27320805369127515</v>
      </c>
      <c r="T213" s="452">
        <f>10.177/37.25</f>
        <v>0.27320805369127515</v>
      </c>
      <c r="U213" s="179"/>
      <c r="V213" s="452">
        <f>10.177/37.25</f>
        <v>0.27320805369127515</v>
      </c>
      <c r="W213" s="452">
        <f>(10.177+0.779+19.281)/37.25</f>
        <v>0.811731543624161</v>
      </c>
      <c r="X213" s="452">
        <f>(10.177+0.779+19.281)/37.25</f>
        <v>0.811731543624161</v>
      </c>
      <c r="Y213" s="452">
        <f>(10.177+0.779+19.281)/37.25</f>
        <v>0.811731543624161</v>
      </c>
      <c r="Z213" s="452">
        <f>(10.177+0.779+19.281)/37.25</f>
        <v>0.811731543624161</v>
      </c>
      <c r="AA213" s="179"/>
      <c r="AB213" s="452">
        <f>(10.177+0.779+19.281)/37.25</f>
        <v>0.811731543624161</v>
      </c>
      <c r="AC213" s="452">
        <f>(10.177+0.779+19.281)/37.25</f>
        <v>0.811731543624161</v>
      </c>
      <c r="AD213" s="452">
        <f>(10.177+0.779+19.281)/37.25</f>
        <v>0.811731543624161</v>
      </c>
      <c r="AE213" s="452">
        <f>(10.177+0.779+19.281)/37.25</f>
        <v>0.811731543624161</v>
      </c>
      <c r="AF213" s="452">
        <f>(10.177+0.779+19.281)/37.25</f>
        <v>0.811731543624161</v>
      </c>
      <c r="AG213" s="179"/>
      <c r="AH213" s="452">
        <f>(10.177+0.779+19.281)/37.25</f>
        <v>0.811731543624161</v>
      </c>
    </row>
    <row r="214" spans="1:34" ht="25.8" customHeight="1" x14ac:dyDescent="0.2">
      <c r="A214" s="529"/>
      <c r="B214" s="526"/>
      <c r="C214" s="526"/>
      <c r="D214" s="273"/>
      <c r="E214" s="452"/>
      <c r="F214" s="452"/>
      <c r="G214" s="452"/>
      <c r="H214" s="452"/>
      <c r="I214" s="179"/>
      <c r="J214" s="452"/>
      <c r="K214" s="452"/>
      <c r="L214" s="452"/>
      <c r="M214" s="452"/>
      <c r="N214" s="452"/>
      <c r="O214" s="179"/>
      <c r="P214" s="452"/>
      <c r="Q214" s="452"/>
      <c r="R214" s="452"/>
      <c r="S214" s="452"/>
      <c r="T214" s="452"/>
      <c r="U214" s="179"/>
      <c r="V214" s="452"/>
      <c r="W214" s="452"/>
      <c r="X214" s="452"/>
      <c r="Y214" s="452"/>
      <c r="Z214" s="452"/>
      <c r="AA214" s="179"/>
      <c r="AB214" s="452"/>
      <c r="AC214" s="452"/>
      <c r="AD214" s="452"/>
      <c r="AE214" s="452"/>
      <c r="AF214" s="452"/>
      <c r="AG214" s="179"/>
      <c r="AH214" s="452"/>
    </row>
    <row r="215" spans="1:34" ht="15.75" customHeight="1" x14ac:dyDescent="0.2">
      <c r="A215" s="529"/>
      <c r="B215" s="526" t="s">
        <v>44</v>
      </c>
      <c r="C215" s="526"/>
      <c r="D215" s="273" t="s">
        <v>78</v>
      </c>
      <c r="E215" s="452">
        <v>1</v>
      </c>
      <c r="F215" s="452">
        <v>1</v>
      </c>
      <c r="G215" s="452">
        <v>1</v>
      </c>
      <c r="H215" s="452">
        <v>1</v>
      </c>
      <c r="I215" s="179"/>
      <c r="J215" s="452">
        <v>1</v>
      </c>
      <c r="K215" s="452">
        <v>1</v>
      </c>
      <c r="L215" s="452">
        <v>1</v>
      </c>
      <c r="M215" s="452">
        <v>1</v>
      </c>
      <c r="N215" s="452">
        <v>1</v>
      </c>
      <c r="O215" s="179"/>
      <c r="P215" s="452">
        <v>1</v>
      </c>
      <c r="Q215" s="452">
        <v>1</v>
      </c>
      <c r="R215" s="452">
        <v>1</v>
      </c>
      <c r="S215" s="452">
        <v>1</v>
      </c>
      <c r="T215" s="452">
        <v>1</v>
      </c>
      <c r="U215" s="179"/>
      <c r="V215" s="452">
        <v>1</v>
      </c>
      <c r="W215" s="452">
        <f>10.177/(10.177+0.779+19.281)</f>
        <v>0.33657439560802993</v>
      </c>
      <c r="X215" s="452">
        <f>10.177/(10.177+0.779+19.281)</f>
        <v>0.33657439560802993</v>
      </c>
      <c r="Y215" s="452">
        <f>10.177/(10.177+0.779+19.281)</f>
        <v>0.33657439560802993</v>
      </c>
      <c r="Z215" s="452">
        <f>10.177/(10.177+0.779+19.281)</f>
        <v>0.33657439560802993</v>
      </c>
      <c r="AA215" s="179"/>
      <c r="AB215" s="452">
        <f>10.177/(10.177+0.779+19.281)</f>
        <v>0.33657439560802993</v>
      </c>
      <c r="AC215" s="452">
        <v>1</v>
      </c>
      <c r="AD215" s="452">
        <v>1</v>
      </c>
      <c r="AE215" s="452">
        <v>1</v>
      </c>
      <c r="AF215" s="452">
        <v>1</v>
      </c>
      <c r="AG215" s="179"/>
      <c r="AH215" s="452">
        <v>1</v>
      </c>
    </row>
    <row r="216" spans="1:34" ht="34.200000000000003" customHeight="1" x14ac:dyDescent="0.2">
      <c r="A216" s="529"/>
      <c r="B216" s="526"/>
      <c r="C216" s="526"/>
      <c r="D216" s="273"/>
      <c r="E216" s="452"/>
      <c r="F216" s="452"/>
      <c r="G216" s="452"/>
      <c r="H216" s="452"/>
      <c r="I216" s="179"/>
      <c r="J216" s="452"/>
      <c r="K216" s="452"/>
      <c r="L216" s="452"/>
      <c r="M216" s="452"/>
      <c r="N216" s="452"/>
      <c r="O216" s="179"/>
      <c r="P216" s="452"/>
      <c r="Q216" s="452"/>
      <c r="R216" s="452"/>
      <c r="S216" s="452"/>
      <c r="T216" s="452"/>
      <c r="U216" s="179"/>
      <c r="V216" s="452"/>
      <c r="W216" s="452"/>
      <c r="X216" s="452"/>
      <c r="Y216" s="452"/>
      <c r="Z216" s="452"/>
      <c r="AA216" s="179"/>
      <c r="AB216" s="452"/>
      <c r="AC216" s="452"/>
      <c r="AD216" s="452"/>
      <c r="AE216" s="452"/>
      <c r="AF216" s="452"/>
      <c r="AG216" s="179"/>
      <c r="AH216" s="452"/>
    </row>
    <row r="217" spans="1:34" ht="21.75" customHeight="1" x14ac:dyDescent="0.2">
      <c r="A217" s="529"/>
      <c r="B217" s="526" t="s">
        <v>153</v>
      </c>
      <c r="C217" s="526"/>
      <c r="D217" s="25" t="s">
        <v>100</v>
      </c>
      <c r="E217" s="453">
        <v>0.4</v>
      </c>
      <c r="F217" s="453">
        <v>0.4</v>
      </c>
      <c r="G217" s="453">
        <v>0.4</v>
      </c>
      <c r="H217" s="453">
        <v>0.4</v>
      </c>
      <c r="I217" s="188"/>
      <c r="J217" s="453">
        <v>0.4</v>
      </c>
      <c r="K217" s="453">
        <v>0.4</v>
      </c>
      <c r="L217" s="453">
        <v>0.4</v>
      </c>
      <c r="M217" s="453">
        <v>0.4</v>
      </c>
      <c r="N217" s="453">
        <v>0.4</v>
      </c>
      <c r="O217" s="188"/>
      <c r="P217" s="453">
        <v>0.4</v>
      </c>
      <c r="Q217" s="453">
        <v>0.4</v>
      </c>
      <c r="R217" s="453">
        <v>0.4</v>
      </c>
      <c r="S217" s="453">
        <v>0.4</v>
      </c>
      <c r="T217" s="453">
        <v>0.4</v>
      </c>
      <c r="U217" s="188"/>
      <c r="V217" s="453">
        <v>0.4</v>
      </c>
      <c r="W217" s="453">
        <v>0.4</v>
      </c>
      <c r="X217" s="453">
        <v>0.4</v>
      </c>
      <c r="Y217" s="453">
        <v>0.4</v>
      </c>
      <c r="Z217" s="453">
        <v>0.4</v>
      </c>
      <c r="AA217" s="188"/>
      <c r="AB217" s="453">
        <v>0.4</v>
      </c>
      <c r="AC217" s="453">
        <v>0.4</v>
      </c>
      <c r="AD217" s="453">
        <v>0.4</v>
      </c>
      <c r="AE217" s="453">
        <v>0.4</v>
      </c>
      <c r="AF217" s="453">
        <v>0.4</v>
      </c>
      <c r="AG217" s="188"/>
      <c r="AH217" s="453">
        <v>0.4</v>
      </c>
    </row>
    <row r="218" spans="1:34" ht="42.6" customHeight="1" x14ac:dyDescent="0.2">
      <c r="A218" s="529"/>
      <c r="B218" s="526"/>
      <c r="C218" s="526"/>
      <c r="D218" s="19" t="s">
        <v>31</v>
      </c>
      <c r="E218" s="251"/>
      <c r="F218" s="251"/>
      <c r="G218" s="251"/>
      <c r="H218" s="251"/>
      <c r="I218" s="188"/>
      <c r="J218" s="251"/>
      <c r="K218" s="251"/>
      <c r="L218" s="251"/>
      <c r="M218" s="251"/>
      <c r="N218" s="251"/>
      <c r="O218" s="188"/>
      <c r="P218" s="251"/>
      <c r="Q218" s="251"/>
      <c r="R218" s="251"/>
      <c r="S218" s="251"/>
      <c r="T218" s="251"/>
      <c r="U218" s="188"/>
      <c r="V218" s="251"/>
      <c r="W218" s="251"/>
      <c r="X218" s="251"/>
      <c r="Y218" s="251"/>
      <c r="Z218" s="251"/>
      <c r="AA218" s="188"/>
      <c r="AB218" s="251"/>
      <c r="AC218" s="251"/>
      <c r="AD218" s="251"/>
      <c r="AE218" s="251"/>
      <c r="AF218" s="251"/>
      <c r="AG218" s="188"/>
      <c r="AH218" s="251"/>
    </row>
    <row r="219" spans="1:34" x14ac:dyDescent="0.2">
      <c r="A219" s="229"/>
      <c r="B219" s="230"/>
      <c r="C219" s="230"/>
      <c r="D219" s="33"/>
      <c r="E219" s="199"/>
      <c r="F219" s="199"/>
      <c r="G219" s="199"/>
      <c r="H219" s="199"/>
      <c r="I219" s="200"/>
      <c r="J219" s="200"/>
      <c r="K219" s="199"/>
      <c r="L219" s="199"/>
      <c r="M219" s="199"/>
      <c r="N219" s="199"/>
      <c r="O219" s="200"/>
      <c r="P219" s="200"/>
      <c r="Q219" s="199"/>
      <c r="R219" s="199"/>
      <c r="S219" s="199"/>
      <c r="T219" s="199"/>
      <c r="U219" s="200"/>
      <c r="V219" s="200"/>
      <c r="W219" s="199"/>
      <c r="X219" s="199"/>
      <c r="Y219" s="199"/>
      <c r="Z219" s="199"/>
      <c r="AA219" s="200"/>
      <c r="AB219" s="200"/>
      <c r="AC219" s="199"/>
      <c r="AD219" s="199"/>
      <c r="AE219" s="199"/>
      <c r="AF219" s="199"/>
      <c r="AG219" s="200"/>
      <c r="AH219" s="200"/>
    </row>
    <row r="220" spans="1:34" x14ac:dyDescent="0.2">
      <c r="A220" s="225" t="s">
        <v>34</v>
      </c>
      <c r="B220" s="234"/>
      <c r="C220" s="234"/>
      <c r="D220" s="49"/>
      <c r="E220" s="200"/>
      <c r="F220" s="200"/>
      <c r="G220" s="202"/>
      <c r="H220" s="200"/>
      <c r="I220" s="200"/>
      <c r="J220" s="200"/>
      <c r="K220" s="200"/>
      <c r="L220" s="200"/>
      <c r="M220" s="202"/>
      <c r="N220" s="200"/>
      <c r="O220" s="200"/>
      <c r="P220" s="200"/>
      <c r="Q220" s="200"/>
      <c r="R220" s="200"/>
      <c r="S220" s="202"/>
      <c r="T220" s="200"/>
      <c r="U220" s="200"/>
      <c r="V220" s="200"/>
      <c r="W220" s="200"/>
      <c r="X220" s="200"/>
      <c r="Y220" s="202"/>
      <c r="Z220" s="200"/>
      <c r="AA220" s="200"/>
      <c r="AB220" s="200"/>
      <c r="AC220" s="200"/>
      <c r="AD220" s="200"/>
      <c r="AE220" s="202"/>
      <c r="AF220" s="200"/>
      <c r="AG220" s="200"/>
      <c r="AH220" s="200"/>
    </row>
    <row r="221" spans="1:34" x14ac:dyDescent="0.2">
      <c r="A221" s="225"/>
      <c r="B221" s="234"/>
      <c r="C221" s="234"/>
      <c r="D221" s="49"/>
      <c r="E221" s="200"/>
      <c r="F221" s="200"/>
      <c r="G221" s="200"/>
      <c r="H221" s="200"/>
      <c r="I221" s="179"/>
      <c r="J221" s="179"/>
      <c r="K221" s="200"/>
      <c r="L221" s="200"/>
      <c r="M221" s="200"/>
      <c r="N221" s="200"/>
      <c r="O221" s="179"/>
      <c r="P221" s="179"/>
      <c r="Q221" s="200"/>
      <c r="R221" s="200"/>
      <c r="S221" s="200"/>
      <c r="T221" s="200"/>
      <c r="U221" s="179"/>
      <c r="V221" s="179"/>
      <c r="W221" s="200"/>
      <c r="X221" s="200"/>
      <c r="Y221" s="200"/>
      <c r="Z221" s="200"/>
      <c r="AA221" s="179"/>
      <c r="AB221" s="179"/>
      <c r="AC221" s="200"/>
      <c r="AD221" s="200"/>
      <c r="AE221" s="200"/>
      <c r="AF221" s="200"/>
      <c r="AG221" s="179"/>
      <c r="AH221" s="179"/>
    </row>
    <row r="222" spans="1:34" ht="33" customHeight="1" x14ac:dyDescent="0.2">
      <c r="A222" s="531"/>
      <c r="B222" s="532" t="s">
        <v>38</v>
      </c>
      <c r="C222" s="533"/>
      <c r="D222" s="22"/>
      <c r="E222" s="178">
        <v>2026</v>
      </c>
      <c r="F222" s="178"/>
      <c r="G222" s="461"/>
      <c r="H222" s="461"/>
      <c r="I222" s="180" t="s">
        <v>5</v>
      </c>
      <c r="J222" s="180"/>
      <c r="K222" s="178">
        <v>2027</v>
      </c>
      <c r="L222" s="178"/>
      <c r="M222" s="461"/>
      <c r="N222" s="461"/>
      <c r="O222" s="180" t="s">
        <v>5</v>
      </c>
      <c r="P222" s="180"/>
      <c r="Q222" s="178">
        <v>2028</v>
      </c>
      <c r="R222" s="178"/>
      <c r="S222" s="461"/>
      <c r="T222" s="461"/>
      <c r="U222" s="180" t="s">
        <v>5</v>
      </c>
      <c r="V222" s="180"/>
      <c r="W222" s="178"/>
      <c r="X222" s="178"/>
      <c r="Y222" s="461">
        <v>2029</v>
      </c>
      <c r="Z222" s="461"/>
      <c r="AA222" s="180" t="s">
        <v>5</v>
      </c>
      <c r="AB222" s="180"/>
      <c r="AC222" s="178">
        <v>2030</v>
      </c>
      <c r="AD222" s="178"/>
      <c r="AE222" s="461"/>
      <c r="AF222" s="461"/>
      <c r="AG222" s="180" t="s">
        <v>5</v>
      </c>
      <c r="AH222" s="180"/>
    </row>
    <row r="223" spans="1:34" ht="23.25" customHeight="1" x14ac:dyDescent="0.2">
      <c r="A223" s="531"/>
      <c r="B223" s="532"/>
      <c r="C223" s="533"/>
      <c r="D223" s="40"/>
      <c r="E223" s="176" t="s">
        <v>1</v>
      </c>
      <c r="F223" s="176" t="s">
        <v>2</v>
      </c>
      <c r="G223" s="176" t="s">
        <v>3</v>
      </c>
      <c r="H223" s="176" t="s">
        <v>4</v>
      </c>
      <c r="I223" s="178">
        <v>9</v>
      </c>
      <c r="J223" s="178"/>
      <c r="K223" s="176" t="s">
        <v>1</v>
      </c>
      <c r="L223" s="176" t="s">
        <v>2</v>
      </c>
      <c r="M223" s="176" t="s">
        <v>3</v>
      </c>
      <c r="N223" s="176" t="s">
        <v>4</v>
      </c>
      <c r="O223" s="178">
        <v>9</v>
      </c>
      <c r="P223" s="178"/>
      <c r="Q223" s="176" t="s">
        <v>1</v>
      </c>
      <c r="R223" s="176" t="s">
        <v>2</v>
      </c>
      <c r="S223" s="176" t="s">
        <v>3</v>
      </c>
      <c r="T223" s="176" t="s">
        <v>4</v>
      </c>
      <c r="U223" s="178">
        <v>9</v>
      </c>
      <c r="V223" s="178"/>
      <c r="W223" s="176"/>
      <c r="X223" s="176"/>
      <c r="Y223" s="176" t="s">
        <v>3</v>
      </c>
      <c r="Z223" s="176" t="s">
        <v>4</v>
      </c>
      <c r="AA223" s="178">
        <v>9</v>
      </c>
      <c r="AB223" s="178"/>
      <c r="AC223" s="176" t="s">
        <v>1</v>
      </c>
      <c r="AD223" s="176" t="s">
        <v>2</v>
      </c>
      <c r="AE223" s="176" t="s">
        <v>3</v>
      </c>
      <c r="AF223" s="176" t="s">
        <v>4</v>
      </c>
      <c r="AG223" s="178">
        <v>9</v>
      </c>
      <c r="AH223" s="178"/>
    </row>
    <row r="224" spans="1:34" x14ac:dyDescent="0.2">
      <c r="A224" s="227">
        <v>0</v>
      </c>
      <c r="B224" s="226">
        <v>1</v>
      </c>
      <c r="C224" s="226">
        <v>2</v>
      </c>
      <c r="D224" s="22">
        <v>3</v>
      </c>
      <c r="E224" s="178" t="s">
        <v>113</v>
      </c>
      <c r="F224" s="178" t="s">
        <v>114</v>
      </c>
      <c r="G224" s="178" t="s">
        <v>115</v>
      </c>
      <c r="H224" s="178" t="s">
        <v>116</v>
      </c>
      <c r="I224" s="178"/>
      <c r="J224" s="178"/>
      <c r="K224" s="178" t="s">
        <v>113</v>
      </c>
      <c r="L224" s="178" t="s">
        <v>114</v>
      </c>
      <c r="M224" s="178" t="s">
        <v>115</v>
      </c>
      <c r="N224" s="178" t="s">
        <v>116</v>
      </c>
      <c r="O224" s="178"/>
      <c r="P224" s="178"/>
      <c r="Q224" s="178" t="s">
        <v>113</v>
      </c>
      <c r="R224" s="178" t="s">
        <v>114</v>
      </c>
      <c r="S224" s="178" t="s">
        <v>115</v>
      </c>
      <c r="T224" s="178" t="s">
        <v>116</v>
      </c>
      <c r="U224" s="178"/>
      <c r="V224" s="178"/>
      <c r="W224" s="178" t="s">
        <v>113</v>
      </c>
      <c r="X224" s="178" t="s">
        <v>114</v>
      </c>
      <c r="Y224" s="178" t="s">
        <v>115</v>
      </c>
      <c r="Z224" s="178" t="s">
        <v>116</v>
      </c>
      <c r="AA224" s="178"/>
      <c r="AB224" s="178"/>
      <c r="AC224" s="178" t="s">
        <v>113</v>
      </c>
      <c r="AD224" s="178" t="s">
        <v>114</v>
      </c>
      <c r="AE224" s="178" t="s">
        <v>115</v>
      </c>
      <c r="AF224" s="178" t="s">
        <v>116</v>
      </c>
      <c r="AG224" s="178"/>
      <c r="AH224" s="178"/>
    </row>
    <row r="225" spans="1:34" x14ac:dyDescent="0.2">
      <c r="A225" s="225">
        <v>3.1</v>
      </c>
      <c r="B225" s="524" t="s">
        <v>105</v>
      </c>
      <c r="C225" s="52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529"/>
      <c r="B226" s="526" t="s">
        <v>45</v>
      </c>
      <c r="C226" s="526"/>
      <c r="D226" s="25" t="s">
        <v>101</v>
      </c>
      <c r="E226" s="181">
        <v>1178</v>
      </c>
      <c r="F226" s="181">
        <v>1203</v>
      </c>
      <c r="G226" s="181">
        <v>1228</v>
      </c>
      <c r="H226" s="181">
        <v>1253</v>
      </c>
      <c r="I226" s="192"/>
      <c r="J226" s="192">
        <v>1253</v>
      </c>
      <c r="K226" s="181">
        <v>1278</v>
      </c>
      <c r="L226" s="181">
        <v>1303</v>
      </c>
      <c r="M226" s="181">
        <v>1328</v>
      </c>
      <c r="N226" s="181">
        <v>1353</v>
      </c>
      <c r="O226" s="192"/>
      <c r="P226" s="192">
        <v>1353</v>
      </c>
      <c r="Q226" s="181">
        <v>1378</v>
      </c>
      <c r="R226" s="181">
        <v>1403</v>
      </c>
      <c r="S226" s="181">
        <v>1428</v>
      </c>
      <c r="T226" s="181">
        <v>1453</v>
      </c>
      <c r="U226" s="181"/>
      <c r="V226" s="192">
        <v>1453</v>
      </c>
      <c r="W226" s="181">
        <v>1484</v>
      </c>
      <c r="X226" s="181">
        <v>1515</v>
      </c>
      <c r="Y226" s="181">
        <v>1545</v>
      </c>
      <c r="Z226" s="181">
        <v>1576</v>
      </c>
      <c r="AA226" s="192"/>
      <c r="AB226" s="245">
        <v>1576</v>
      </c>
      <c r="AC226" s="181">
        <v>1572</v>
      </c>
      <c r="AD226" s="181">
        <v>1574</v>
      </c>
      <c r="AE226" s="181">
        <v>1575</v>
      </c>
      <c r="AF226" s="181">
        <v>1576</v>
      </c>
      <c r="AG226" s="192"/>
      <c r="AH226" s="245">
        <v>1576</v>
      </c>
    </row>
    <row r="227" spans="1:34" x14ac:dyDescent="0.2">
      <c r="A227" s="529"/>
      <c r="B227" s="526"/>
      <c r="C227" s="526"/>
      <c r="D227" s="25" t="s">
        <v>32</v>
      </c>
      <c r="E227" s="188">
        <v>17.47</v>
      </c>
      <c r="F227" s="188">
        <v>17.47</v>
      </c>
      <c r="G227" s="188">
        <v>17.47</v>
      </c>
      <c r="H227" s="188">
        <v>17.47</v>
      </c>
      <c r="I227" s="188"/>
      <c r="J227" s="188">
        <v>17.47</v>
      </c>
      <c r="K227" s="188">
        <v>17.47</v>
      </c>
      <c r="L227" s="188">
        <v>17.47</v>
      </c>
      <c r="M227" s="188">
        <v>17.47</v>
      </c>
      <c r="N227" s="188">
        <v>17.47</v>
      </c>
      <c r="O227" s="188"/>
      <c r="P227" s="188">
        <v>17.47</v>
      </c>
      <c r="Q227" s="188">
        <v>17.47</v>
      </c>
      <c r="R227" s="188">
        <v>17.47</v>
      </c>
      <c r="S227" s="188">
        <v>17.47</v>
      </c>
      <c r="T227" s="188">
        <v>17.47</v>
      </c>
      <c r="U227" s="196"/>
      <c r="V227" s="188">
        <v>17.47</v>
      </c>
      <c r="W227" s="188">
        <f>17.47+5.466</f>
        <v>22.936</v>
      </c>
      <c r="X227" s="188">
        <f t="shared" ref="X227:Z228" si="0">17.47+5.466</f>
        <v>22.936</v>
      </c>
      <c r="Y227" s="188">
        <f t="shared" si="0"/>
        <v>22.936</v>
      </c>
      <c r="Z227" s="188">
        <f t="shared" si="0"/>
        <v>22.936</v>
      </c>
      <c r="AA227" s="188"/>
      <c r="AB227" s="188">
        <f>17.47+5.466</f>
        <v>22.936</v>
      </c>
      <c r="AC227" s="188">
        <f t="shared" ref="AC227:AF228" si="1">17.47+5.466</f>
        <v>22.936</v>
      </c>
      <c r="AD227" s="188">
        <f t="shared" si="1"/>
        <v>22.936</v>
      </c>
      <c r="AE227" s="188">
        <f t="shared" si="1"/>
        <v>22.936</v>
      </c>
      <c r="AF227" s="188">
        <f t="shared" si="1"/>
        <v>22.936</v>
      </c>
      <c r="AG227" s="188"/>
      <c r="AH227" s="238">
        <f>AB227</f>
        <v>22.936</v>
      </c>
    </row>
    <row r="228" spans="1:34" ht="15.75" customHeight="1" x14ac:dyDescent="0.2">
      <c r="A228" s="529"/>
      <c r="B228" s="526" t="s">
        <v>46</v>
      </c>
      <c r="C228" s="526"/>
      <c r="D228" s="25" t="s">
        <v>32</v>
      </c>
      <c r="E228" s="188">
        <v>17.47</v>
      </c>
      <c r="F228" s="188">
        <v>17.47</v>
      </c>
      <c r="G228" s="188">
        <v>17.47</v>
      </c>
      <c r="H228" s="188">
        <v>17.47</v>
      </c>
      <c r="I228" s="188"/>
      <c r="J228" s="188">
        <v>17.47</v>
      </c>
      <c r="K228" s="188">
        <v>17.47</v>
      </c>
      <c r="L228" s="188">
        <v>17.47</v>
      </c>
      <c r="M228" s="188">
        <v>17.47</v>
      </c>
      <c r="N228" s="188">
        <v>17.47</v>
      </c>
      <c r="O228" s="188"/>
      <c r="P228" s="188">
        <v>17.47</v>
      </c>
      <c r="Q228" s="188">
        <v>17.47</v>
      </c>
      <c r="R228" s="188">
        <v>17.47</v>
      </c>
      <c r="S228" s="188">
        <v>17.47</v>
      </c>
      <c r="T228" s="188">
        <v>17.47</v>
      </c>
      <c r="U228" s="196"/>
      <c r="V228" s="188">
        <v>17.47</v>
      </c>
      <c r="W228" s="188">
        <f>17.47+5.466</f>
        <v>22.936</v>
      </c>
      <c r="X228" s="188">
        <f t="shared" si="0"/>
        <v>22.936</v>
      </c>
      <c r="Y228" s="188">
        <f t="shared" si="0"/>
        <v>22.936</v>
      </c>
      <c r="Z228" s="188">
        <f t="shared" si="0"/>
        <v>22.936</v>
      </c>
      <c r="AA228" s="188"/>
      <c r="AB228" s="188">
        <f>17.47+5.466</f>
        <v>22.936</v>
      </c>
      <c r="AC228" s="188">
        <f t="shared" si="1"/>
        <v>22.936</v>
      </c>
      <c r="AD228" s="188">
        <f t="shared" si="1"/>
        <v>22.936</v>
      </c>
      <c r="AE228" s="188">
        <f t="shared" si="1"/>
        <v>22.936</v>
      </c>
      <c r="AF228" s="188">
        <f t="shared" si="1"/>
        <v>22.936</v>
      </c>
      <c r="AG228" s="188"/>
      <c r="AH228" s="238">
        <f>AB228</f>
        <v>22.936</v>
      </c>
    </row>
    <row r="229" spans="1:34" x14ac:dyDescent="0.2">
      <c r="A229" s="529"/>
      <c r="B229" s="526"/>
      <c r="C229" s="526"/>
      <c r="D229" s="25" t="s">
        <v>143</v>
      </c>
      <c r="E229" s="186">
        <v>2926.08</v>
      </c>
      <c r="F229" s="186">
        <v>2938.56</v>
      </c>
      <c r="G229" s="186">
        <v>2951.04</v>
      </c>
      <c r="H229" s="186">
        <v>2963.52</v>
      </c>
      <c r="I229" s="192"/>
      <c r="J229" s="192">
        <v>2963.52</v>
      </c>
      <c r="K229" s="239">
        <v>2976</v>
      </c>
      <c r="L229" s="239">
        <v>2988.48</v>
      </c>
      <c r="M229" s="239">
        <v>3000.96</v>
      </c>
      <c r="N229" s="239">
        <v>3013.44</v>
      </c>
      <c r="O229" s="192"/>
      <c r="P229" s="192">
        <v>3013.44</v>
      </c>
      <c r="Q229" s="239">
        <v>3025.68</v>
      </c>
      <c r="R229" s="239">
        <v>3037.92</v>
      </c>
      <c r="S229" s="239">
        <v>3050.16</v>
      </c>
      <c r="T229" s="239">
        <v>3062.4</v>
      </c>
      <c r="U229" s="239"/>
      <c r="V229" s="192">
        <v>3062.4</v>
      </c>
      <c r="W229" s="239">
        <v>3074.4</v>
      </c>
      <c r="X229" s="239">
        <v>3086.4</v>
      </c>
      <c r="Y229" s="239">
        <v>3098.4</v>
      </c>
      <c r="Z229" s="239">
        <v>3110.4</v>
      </c>
      <c r="AA229" s="192"/>
      <c r="AB229" s="192">
        <v>3110.4</v>
      </c>
      <c r="AC229" s="239">
        <v>3139.32</v>
      </c>
      <c r="AD229" s="239">
        <v>3168.24</v>
      </c>
      <c r="AE229" s="239">
        <v>3197.16</v>
      </c>
      <c r="AF229" s="239">
        <v>3226.08</v>
      </c>
      <c r="AG229" s="192"/>
      <c r="AH229" s="192">
        <v>3226.08</v>
      </c>
    </row>
    <row r="230" spans="1:34" ht="15.75" customHeight="1" x14ac:dyDescent="0.2">
      <c r="A230" s="529"/>
      <c r="B230" s="526" t="s">
        <v>47</v>
      </c>
      <c r="C230" s="526"/>
      <c r="D230" s="25" t="s">
        <v>32</v>
      </c>
      <c r="E230" s="197">
        <v>23.46</v>
      </c>
      <c r="F230" s="197">
        <v>23.46</v>
      </c>
      <c r="G230" s="197">
        <v>23.46</v>
      </c>
      <c r="H230" s="197">
        <v>23.46</v>
      </c>
      <c r="I230" s="192"/>
      <c r="J230" s="188">
        <v>23.454999999999998</v>
      </c>
      <c r="K230" s="188">
        <v>23.454999999999998</v>
      </c>
      <c r="L230" s="188">
        <v>23.454999999999998</v>
      </c>
      <c r="M230" s="188">
        <v>23.454999999999998</v>
      </c>
      <c r="N230" s="188">
        <v>23.454999999999998</v>
      </c>
      <c r="O230" s="188"/>
      <c r="P230" s="188">
        <v>23.454999999999998</v>
      </c>
      <c r="Q230" s="188">
        <v>23.454999999999998</v>
      </c>
      <c r="R230" s="188">
        <v>23.454999999999998</v>
      </c>
      <c r="S230" s="188">
        <v>23.454999999999998</v>
      </c>
      <c r="T230" s="188">
        <v>23.454999999999998</v>
      </c>
      <c r="U230" s="196"/>
      <c r="V230" s="188">
        <v>23.454999999999998</v>
      </c>
      <c r="W230" s="188">
        <f>23.455+5.466</f>
        <v>28.920999999999999</v>
      </c>
      <c r="X230" s="188">
        <f>23.455+5.466</f>
        <v>28.920999999999999</v>
      </c>
      <c r="Y230" s="188">
        <f>23.455+5.466</f>
        <v>28.920999999999999</v>
      </c>
      <c r="Z230" s="188">
        <f>23.455+5.466</f>
        <v>28.920999999999999</v>
      </c>
      <c r="AA230" s="188"/>
      <c r="AB230" s="188">
        <f>23.455+5.466</f>
        <v>28.920999999999999</v>
      </c>
      <c r="AC230" s="188">
        <f>23.455+5.466</f>
        <v>28.920999999999999</v>
      </c>
      <c r="AD230" s="188">
        <f>23.455+5.466</f>
        <v>28.920999999999999</v>
      </c>
      <c r="AE230" s="188">
        <f>23.455+5.466</f>
        <v>28.920999999999999</v>
      </c>
      <c r="AF230" s="188">
        <f>23.455+5.466</f>
        <v>28.920999999999999</v>
      </c>
      <c r="AG230" s="188"/>
      <c r="AH230" s="238">
        <f>AB230</f>
        <v>28.920999999999999</v>
      </c>
    </row>
    <row r="231" spans="1:34" x14ac:dyDescent="0.2">
      <c r="A231" s="529"/>
      <c r="B231" s="526"/>
      <c r="C231" s="526"/>
      <c r="D231" s="25" t="s">
        <v>143</v>
      </c>
      <c r="E231" s="186">
        <v>2926.08</v>
      </c>
      <c r="F231" s="186">
        <v>2938.56</v>
      </c>
      <c r="G231" s="186">
        <v>2951.04</v>
      </c>
      <c r="H231" s="186">
        <v>2963.52</v>
      </c>
      <c r="I231" s="192"/>
      <c r="J231" s="192">
        <v>2963.52</v>
      </c>
      <c r="K231" s="239">
        <v>2976</v>
      </c>
      <c r="L231" s="239">
        <v>2988.48</v>
      </c>
      <c r="M231" s="239">
        <v>3000.96</v>
      </c>
      <c r="N231" s="239">
        <v>3013.44</v>
      </c>
      <c r="O231" s="192"/>
      <c r="P231" s="192">
        <v>3013.44</v>
      </c>
      <c r="Q231" s="239">
        <v>3025.68</v>
      </c>
      <c r="R231" s="239">
        <v>3037.92</v>
      </c>
      <c r="S231" s="239">
        <v>3050.16</v>
      </c>
      <c r="T231" s="239">
        <v>3062.4</v>
      </c>
      <c r="U231" s="239"/>
      <c r="V231" s="192">
        <v>3062.4</v>
      </c>
      <c r="W231" s="239">
        <v>3074.4</v>
      </c>
      <c r="X231" s="239">
        <v>3086.4</v>
      </c>
      <c r="Y231" s="239">
        <v>3098.4</v>
      </c>
      <c r="Z231" s="239">
        <v>3110.4</v>
      </c>
      <c r="AA231" s="192"/>
      <c r="AB231" s="192">
        <v>3110.4</v>
      </c>
      <c r="AC231" s="239">
        <v>3139.32</v>
      </c>
      <c r="AD231" s="239">
        <v>3168.24</v>
      </c>
      <c r="AE231" s="239">
        <v>3197.16</v>
      </c>
      <c r="AF231" s="239">
        <v>3226.08</v>
      </c>
      <c r="AG231" s="192"/>
      <c r="AH231" s="192">
        <v>3226.08</v>
      </c>
    </row>
    <row r="232" spans="1:34" x14ac:dyDescent="0.2">
      <c r="A232" s="529"/>
      <c r="B232" s="526" t="s">
        <v>36</v>
      </c>
      <c r="C232" s="526"/>
      <c r="D232" s="25" t="s">
        <v>144</v>
      </c>
      <c r="E232" s="181">
        <v>245</v>
      </c>
      <c r="F232" s="181">
        <v>250</v>
      </c>
      <c r="G232" s="181">
        <v>255</v>
      </c>
      <c r="H232" s="181">
        <v>260</v>
      </c>
      <c r="I232" s="192"/>
      <c r="J232" s="192">
        <v>260</v>
      </c>
      <c r="K232" s="181">
        <v>265</v>
      </c>
      <c r="L232" s="181">
        <v>270</v>
      </c>
      <c r="M232" s="181">
        <v>275</v>
      </c>
      <c r="N232" s="181">
        <v>280</v>
      </c>
      <c r="O232" s="192"/>
      <c r="P232" s="192">
        <v>280</v>
      </c>
      <c r="Q232" s="181">
        <v>288</v>
      </c>
      <c r="R232" s="181">
        <v>295</v>
      </c>
      <c r="S232" s="181">
        <v>303</v>
      </c>
      <c r="T232" s="181">
        <v>310</v>
      </c>
      <c r="U232" s="192"/>
      <c r="V232" s="192">
        <v>310</v>
      </c>
      <c r="W232" s="181">
        <v>485</v>
      </c>
      <c r="X232" s="181">
        <v>660</v>
      </c>
      <c r="Y232" s="181">
        <v>835</v>
      </c>
      <c r="Z232" s="181">
        <v>1010</v>
      </c>
      <c r="AA232" s="192"/>
      <c r="AB232" s="192">
        <v>1010</v>
      </c>
      <c r="AC232" s="181">
        <v>1035</v>
      </c>
      <c r="AD232" s="181">
        <v>1059</v>
      </c>
      <c r="AE232" s="181">
        <v>1084</v>
      </c>
      <c r="AF232" s="181">
        <v>1108</v>
      </c>
      <c r="AG232" s="192"/>
      <c r="AH232" s="192">
        <v>1108</v>
      </c>
    </row>
    <row r="233" spans="1:34" x14ac:dyDescent="0.2">
      <c r="A233" s="529"/>
      <c r="B233" s="526"/>
      <c r="C233" s="526"/>
      <c r="D233" s="25" t="s">
        <v>32</v>
      </c>
      <c r="E233" s="181">
        <v>10.18</v>
      </c>
      <c r="F233" s="181">
        <v>10.18</v>
      </c>
      <c r="G233" s="181">
        <v>10.18</v>
      </c>
      <c r="H233" s="181">
        <v>10.18</v>
      </c>
      <c r="I233" s="192"/>
      <c r="J233" s="188">
        <v>10.177</v>
      </c>
      <c r="K233" s="188">
        <v>10.177</v>
      </c>
      <c r="L233" s="188">
        <v>10.177</v>
      </c>
      <c r="M233" s="188">
        <v>10.177</v>
      </c>
      <c r="N233" s="188">
        <v>10.177</v>
      </c>
      <c r="O233" s="192"/>
      <c r="P233" s="188">
        <v>10.177</v>
      </c>
      <c r="Q233" s="188">
        <v>10.177</v>
      </c>
      <c r="R233" s="188">
        <v>10.177</v>
      </c>
      <c r="S233" s="188">
        <v>10.177</v>
      </c>
      <c r="T233" s="188">
        <v>10.177</v>
      </c>
      <c r="U233" s="192"/>
      <c r="V233" s="188">
        <v>10.177</v>
      </c>
      <c r="W233" s="188">
        <f>10.177+0.779+19.281</f>
        <v>30.236999999999998</v>
      </c>
      <c r="X233" s="188">
        <f>10.177+0.779+19.281</f>
        <v>30.236999999999998</v>
      </c>
      <c r="Y233" s="188">
        <f>10.177+0.779+19.281</f>
        <v>30.236999999999998</v>
      </c>
      <c r="Z233" s="188">
        <f>10.177+0.779+19.281</f>
        <v>30.236999999999998</v>
      </c>
      <c r="AA233" s="192"/>
      <c r="AB233" s="188">
        <f>10.177+0.779+19.281</f>
        <v>30.236999999999998</v>
      </c>
      <c r="AC233" s="188">
        <f>10.177+0.779+19.281</f>
        <v>30.236999999999998</v>
      </c>
      <c r="AD233" s="188">
        <f>10.177+0.779+19.281</f>
        <v>30.236999999999998</v>
      </c>
      <c r="AE233" s="188">
        <f>10.177+0.779+19.281</f>
        <v>30.236999999999998</v>
      </c>
      <c r="AF233" s="188">
        <f>10.177+0.779+19.281</f>
        <v>30.236999999999998</v>
      </c>
      <c r="AG233" s="192"/>
      <c r="AH233" s="188">
        <f>AB233</f>
        <v>30.236999999999998</v>
      </c>
    </row>
    <row r="234" spans="1:34" x14ac:dyDescent="0.2">
      <c r="A234" s="529"/>
      <c r="B234" s="526" t="s">
        <v>48</v>
      </c>
      <c r="C234" s="526"/>
      <c r="D234" s="24" t="s">
        <v>143</v>
      </c>
      <c r="E234" s="179">
        <v>446.4</v>
      </c>
      <c r="F234" s="179">
        <v>532.79999999999995</v>
      </c>
      <c r="G234" s="179">
        <v>619.20000000000005</v>
      </c>
      <c r="H234" s="179">
        <v>705.6</v>
      </c>
      <c r="I234" s="192"/>
      <c r="J234" s="198">
        <v>705.6</v>
      </c>
      <c r="K234" s="181">
        <v>792</v>
      </c>
      <c r="L234" s="181">
        <v>878.4</v>
      </c>
      <c r="M234" s="181">
        <v>964.8</v>
      </c>
      <c r="N234" s="181">
        <v>1051.2</v>
      </c>
      <c r="O234" s="192"/>
      <c r="P234" s="192">
        <v>1051.2</v>
      </c>
      <c r="Q234" s="181">
        <v>1136</v>
      </c>
      <c r="R234" s="181">
        <v>1222</v>
      </c>
      <c r="S234" s="181">
        <v>1307</v>
      </c>
      <c r="T234" s="181">
        <v>1392</v>
      </c>
      <c r="U234" s="192"/>
      <c r="V234" s="192">
        <v>1392</v>
      </c>
      <c r="W234" s="181">
        <v>1735.2</v>
      </c>
      <c r="X234" s="181">
        <v>2078.4</v>
      </c>
      <c r="Y234" s="181">
        <v>2421.6</v>
      </c>
      <c r="Z234" s="181">
        <v>2764.8</v>
      </c>
      <c r="AA234" s="192"/>
      <c r="AB234" s="192">
        <v>2764.8</v>
      </c>
      <c r="AC234" s="181">
        <v>2837.22</v>
      </c>
      <c r="AD234" s="181">
        <v>2909.64</v>
      </c>
      <c r="AE234" s="181">
        <v>2982.06</v>
      </c>
      <c r="AF234" s="181">
        <v>3054.48</v>
      </c>
      <c r="AG234" s="192"/>
      <c r="AH234" s="192">
        <v>3054.48</v>
      </c>
    </row>
    <row r="235" spans="1:34" x14ac:dyDescent="0.2">
      <c r="A235" s="529"/>
      <c r="B235" s="526"/>
      <c r="C235" s="526"/>
      <c r="D235" s="24" t="s">
        <v>143</v>
      </c>
      <c r="E235" s="198">
        <f>3552-24</f>
        <v>3528</v>
      </c>
      <c r="F235" s="198">
        <f>3552-24</f>
        <v>3528</v>
      </c>
      <c r="G235" s="198">
        <f>3552-24</f>
        <v>3528</v>
      </c>
      <c r="H235" s="198">
        <f>3552-24</f>
        <v>3528</v>
      </c>
      <c r="I235" s="192"/>
      <c r="J235" s="198">
        <f>3552-24</f>
        <v>3528</v>
      </c>
      <c r="K235" s="192">
        <f>E235-24</f>
        <v>3504</v>
      </c>
      <c r="L235" s="192">
        <f>F235-24</f>
        <v>3504</v>
      </c>
      <c r="M235" s="192">
        <f>G235-24</f>
        <v>3504</v>
      </c>
      <c r="N235" s="192">
        <f>H235-24</f>
        <v>3504</v>
      </c>
      <c r="O235" s="192"/>
      <c r="P235" s="192">
        <f>J235-24</f>
        <v>3504</v>
      </c>
      <c r="Q235" s="192">
        <f>K235-24</f>
        <v>3480</v>
      </c>
      <c r="R235" s="192">
        <f>L235-24</f>
        <v>3480</v>
      </c>
      <c r="S235" s="192">
        <f>M235-24</f>
        <v>3480</v>
      </c>
      <c r="T235" s="192">
        <f>N235-24</f>
        <v>3480</v>
      </c>
      <c r="U235" s="192"/>
      <c r="V235" s="192">
        <f>P235-24</f>
        <v>3480</v>
      </c>
      <c r="W235" s="192">
        <f>Q235-24</f>
        <v>3456</v>
      </c>
      <c r="X235" s="192">
        <f>R235-24</f>
        <v>3456</v>
      </c>
      <c r="Y235" s="192">
        <f>S235-24</f>
        <v>3456</v>
      </c>
      <c r="Z235" s="192">
        <f>T235-24</f>
        <v>3456</v>
      </c>
      <c r="AA235" s="192"/>
      <c r="AB235" s="192">
        <f>V235-24</f>
        <v>3456</v>
      </c>
      <c r="AC235" s="192">
        <f>W235-24</f>
        <v>3432</v>
      </c>
      <c r="AD235" s="192">
        <f>X235-24</f>
        <v>3432</v>
      </c>
      <c r="AE235" s="192">
        <f>Y235-24</f>
        <v>3432</v>
      </c>
      <c r="AF235" s="192">
        <f>Z235-24</f>
        <v>3432</v>
      </c>
      <c r="AG235" s="192"/>
      <c r="AH235" s="192">
        <f>AB235-24</f>
        <v>3432</v>
      </c>
    </row>
    <row r="236" spans="1:34" x14ac:dyDescent="0.2">
      <c r="A236" s="225">
        <v>3.2</v>
      </c>
      <c r="B236" s="521" t="s">
        <v>37</v>
      </c>
      <c r="C236" s="522"/>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527"/>
      <c r="B237" s="526" t="s">
        <v>102</v>
      </c>
      <c r="C237" s="235"/>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234"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28"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28"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525" t="s">
        <v>103</v>
      </c>
      <c r="C243" s="528"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525"/>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525"/>
      <c r="C245" s="528"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525"/>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525"/>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525"/>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526" t="s">
        <v>49</v>
      </c>
      <c r="C249" s="526"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526"/>
      <c r="C250" s="526"/>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526"/>
      <c r="C251" s="526"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526"/>
      <c r="C252" s="526"/>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526"/>
      <c r="C253" s="526"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526"/>
      <c r="C254" s="526"/>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174"/>
      <c r="B256" s="166"/>
      <c r="C256" s="175"/>
      <c r="D256" s="9"/>
    </row>
    <row r="257" spans="2:2" x14ac:dyDescent="0.2">
      <c r="B257" s="241"/>
    </row>
    <row r="259" spans="2:2" x14ac:dyDescent="0.2">
      <c r="B259" s="242"/>
    </row>
  </sheetData>
  <mergeCells count="2950">
    <mergeCell ref="V253:V254"/>
    <mergeCell ref="AB253:AB254"/>
    <mergeCell ref="AH253:AH254"/>
    <mergeCell ref="N3:N5"/>
    <mergeCell ref="O3:O5"/>
    <mergeCell ref="J249:J250"/>
    <mergeCell ref="P249:P250"/>
    <mergeCell ref="V249:V250"/>
    <mergeCell ref="A3:L3"/>
    <mergeCell ref="B212:AH212"/>
    <mergeCell ref="AH249:AH250"/>
    <mergeCell ref="J251:J252"/>
    <mergeCell ref="P251:P252"/>
    <mergeCell ref="V251:V252"/>
    <mergeCell ref="AB251:AB252"/>
    <mergeCell ref="AH251:AH252"/>
    <mergeCell ref="R249:R250"/>
    <mergeCell ref="S249:S250"/>
    <mergeCell ref="T249:T250"/>
    <mergeCell ref="J245:J246"/>
    <mergeCell ref="P245:P246"/>
    <mergeCell ref="V245:V246"/>
    <mergeCell ref="AB245:AB246"/>
    <mergeCell ref="AH245:AH246"/>
    <mergeCell ref="J247:J248"/>
    <mergeCell ref="P247:P248"/>
    <mergeCell ref="V247:V248"/>
    <mergeCell ref="AB247:AB248"/>
    <mergeCell ref="AH247:AH248"/>
    <mergeCell ref="AH241:AH242"/>
    <mergeCell ref="J243:J244"/>
    <mergeCell ref="P243:P244"/>
    <mergeCell ref="V243:V244"/>
    <mergeCell ref="AB243:AB244"/>
    <mergeCell ref="AH243:AH244"/>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AD243:AD244"/>
    <mergeCell ref="AE243:AE244"/>
    <mergeCell ref="AF243:AF244"/>
    <mergeCell ref="P217:P218"/>
    <mergeCell ref="V217:V218"/>
    <mergeCell ref="AB217:AB218"/>
    <mergeCell ref="AH217:AH218"/>
    <mergeCell ref="G222:H222"/>
    <mergeCell ref="M222:N222"/>
    <mergeCell ref="S222:T222"/>
    <mergeCell ref="Y222:Z222"/>
    <mergeCell ref="AE222:AF222"/>
    <mergeCell ref="AH213:AH214"/>
    <mergeCell ref="D215:D216"/>
    <mergeCell ref="J215:J216"/>
    <mergeCell ref="P215:P216"/>
    <mergeCell ref="V215:V216"/>
    <mergeCell ref="AB215:AB216"/>
    <mergeCell ref="AH215:AH216"/>
    <mergeCell ref="E213:E214"/>
    <mergeCell ref="F213:F214"/>
    <mergeCell ref="G213:G214"/>
    <mergeCell ref="T215:T216"/>
    <mergeCell ref="S217:S218"/>
    <mergeCell ref="T217:T218"/>
    <mergeCell ref="W213:W214"/>
    <mergeCell ref="X213:X214"/>
    <mergeCell ref="Y213:Y214"/>
    <mergeCell ref="Z213:Z214"/>
    <mergeCell ref="W215:W216"/>
    <mergeCell ref="X215:X216"/>
    <mergeCell ref="Y215:Y216"/>
    <mergeCell ref="Z215:Z216"/>
    <mergeCell ref="W217:W218"/>
    <mergeCell ref="J210:J211"/>
    <mergeCell ref="P210:P211"/>
    <mergeCell ref="V210:V211"/>
    <mergeCell ref="AB210:AB211"/>
    <mergeCell ref="AH210:AH211"/>
    <mergeCell ref="D213:D214"/>
    <mergeCell ref="J213:J214"/>
    <mergeCell ref="P213:P214"/>
    <mergeCell ref="V213:V214"/>
    <mergeCell ref="AB213:AB214"/>
    <mergeCell ref="J206:J207"/>
    <mergeCell ref="P206:P207"/>
    <mergeCell ref="V206:V207"/>
    <mergeCell ref="AB206:AB207"/>
    <mergeCell ref="AH206:AH207"/>
    <mergeCell ref="J208:J209"/>
    <mergeCell ref="P208:P209"/>
    <mergeCell ref="V208:V209"/>
    <mergeCell ref="AB208:AB209"/>
    <mergeCell ref="AH208:AH209"/>
    <mergeCell ref="G210:G211"/>
    <mergeCell ref="H210:H211"/>
    <mergeCell ref="K206:K207"/>
    <mergeCell ref="L206:L207"/>
    <mergeCell ref="M206:M207"/>
    <mergeCell ref="N206:N207"/>
    <mergeCell ref="K208:K209"/>
    <mergeCell ref="L208:L209"/>
    <mergeCell ref="M208:M209"/>
    <mergeCell ref="N208:N209"/>
    <mergeCell ref="K210:K211"/>
    <mergeCell ref="L210:L211"/>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K200:K201"/>
    <mergeCell ref="L200:L201"/>
    <mergeCell ref="K204:K205"/>
    <mergeCell ref="L204:L205"/>
    <mergeCell ref="M200:M201"/>
    <mergeCell ref="N200:N201"/>
    <mergeCell ref="K202:K203"/>
    <mergeCell ref="L202:L203"/>
    <mergeCell ref="M202:M203"/>
    <mergeCell ref="N202:N203"/>
    <mergeCell ref="M204:M205"/>
    <mergeCell ref="N204:N205"/>
    <mergeCell ref="J196:J197"/>
    <mergeCell ref="P196:P197"/>
    <mergeCell ref="V196:V197"/>
    <mergeCell ref="AB196:AB197"/>
    <mergeCell ref="AH196:AH197"/>
    <mergeCell ref="J198:J199"/>
    <mergeCell ref="P198:P199"/>
    <mergeCell ref="V198:V199"/>
    <mergeCell ref="AB198:AB199"/>
    <mergeCell ref="AH198:AH199"/>
    <mergeCell ref="V190:V191"/>
    <mergeCell ref="AB190:AB191"/>
    <mergeCell ref="AH190:AH191"/>
    <mergeCell ref="J192:J193"/>
    <mergeCell ref="P192:P193"/>
    <mergeCell ref="V192:V193"/>
    <mergeCell ref="AB192:AB193"/>
    <mergeCell ref="AH192:AH193"/>
    <mergeCell ref="AD192:AD193"/>
    <mergeCell ref="AE192:AE193"/>
    <mergeCell ref="AF192:AF193"/>
    <mergeCell ref="K196:K197"/>
    <mergeCell ref="L196:L197"/>
    <mergeCell ref="M196:M197"/>
    <mergeCell ref="N196:N197"/>
    <mergeCell ref="K198:K199"/>
    <mergeCell ref="L198:L199"/>
    <mergeCell ref="M198:M199"/>
    <mergeCell ref="N198:N199"/>
    <mergeCell ref="B195:AH195"/>
    <mergeCell ref="AH185:AH186"/>
    <mergeCell ref="J187:J188"/>
    <mergeCell ref="P187:P188"/>
    <mergeCell ref="V187:V188"/>
    <mergeCell ref="AB187:AB188"/>
    <mergeCell ref="AH187:AH188"/>
    <mergeCell ref="V181:V182"/>
    <mergeCell ref="AB181:AB182"/>
    <mergeCell ref="AH181:AH182"/>
    <mergeCell ref="J183:J184"/>
    <mergeCell ref="P183:P184"/>
    <mergeCell ref="V183:V184"/>
    <mergeCell ref="AB183:AB184"/>
    <mergeCell ref="AH183:AH184"/>
    <mergeCell ref="V177:V178"/>
    <mergeCell ref="AB177:AB178"/>
    <mergeCell ref="AH177:AH178"/>
    <mergeCell ref="J179:J180"/>
    <mergeCell ref="P179:P180"/>
    <mergeCell ref="V179:V180"/>
    <mergeCell ref="AB179:AB180"/>
    <mergeCell ref="AH179:AH180"/>
    <mergeCell ref="N179:N180"/>
    <mergeCell ref="Q179:Q180"/>
    <mergeCell ref="R179:R180"/>
    <mergeCell ref="S179:S180"/>
    <mergeCell ref="T179:T180"/>
    <mergeCell ref="W179:W180"/>
    <mergeCell ref="X179:X180"/>
    <mergeCell ref="Y179:Y180"/>
    <mergeCell ref="AH173:AH174"/>
    <mergeCell ref="J175:J176"/>
    <mergeCell ref="P175:P176"/>
    <mergeCell ref="V175:V176"/>
    <mergeCell ref="AB175:AB176"/>
    <mergeCell ref="AH175:AH176"/>
    <mergeCell ref="V169:V170"/>
    <mergeCell ref="AB169:AB170"/>
    <mergeCell ref="AH169:AH170"/>
    <mergeCell ref="J171:J172"/>
    <mergeCell ref="P171:P172"/>
    <mergeCell ref="V171:V172"/>
    <mergeCell ref="AB171:AB172"/>
    <mergeCell ref="AH171:AH172"/>
    <mergeCell ref="V165:V166"/>
    <mergeCell ref="AB165:AB166"/>
    <mergeCell ref="AH165:AH166"/>
    <mergeCell ref="J167:J168"/>
    <mergeCell ref="P167:P168"/>
    <mergeCell ref="V167:V168"/>
    <mergeCell ref="AB167:AB168"/>
    <mergeCell ref="AH167:AH168"/>
    <mergeCell ref="AD167:AD168"/>
    <mergeCell ref="AE167:AE168"/>
    <mergeCell ref="AF167:AF168"/>
    <mergeCell ref="Z169:Z170"/>
    <mergeCell ref="AC169:AC170"/>
    <mergeCell ref="AD169:AD170"/>
    <mergeCell ref="AE169:AE170"/>
    <mergeCell ref="AF169:AF170"/>
    <mergeCell ref="AH161:AH162"/>
    <mergeCell ref="J163:J164"/>
    <mergeCell ref="P163:P164"/>
    <mergeCell ref="V163:V164"/>
    <mergeCell ref="AB163:AB164"/>
    <mergeCell ref="AH163:AH164"/>
    <mergeCell ref="V157:V158"/>
    <mergeCell ref="AB157:AB158"/>
    <mergeCell ref="AH157:AH158"/>
    <mergeCell ref="J159:J160"/>
    <mergeCell ref="P159:P160"/>
    <mergeCell ref="V159:V160"/>
    <mergeCell ref="AB159:AB160"/>
    <mergeCell ref="AH159:AH160"/>
    <mergeCell ref="V153:V154"/>
    <mergeCell ref="AB153:AB154"/>
    <mergeCell ref="AH153:AH154"/>
    <mergeCell ref="J155:J156"/>
    <mergeCell ref="P155:P156"/>
    <mergeCell ref="V155:V156"/>
    <mergeCell ref="AB155:AB156"/>
    <mergeCell ref="AH155:AH156"/>
    <mergeCell ref="AD155:AD156"/>
    <mergeCell ref="AE155:AE156"/>
    <mergeCell ref="AF155:AF156"/>
    <mergeCell ref="Z157:Z158"/>
    <mergeCell ref="AC157:AC158"/>
    <mergeCell ref="AD157:AD158"/>
    <mergeCell ref="AE157:AE158"/>
    <mergeCell ref="AF157:AF158"/>
    <mergeCell ref="J148:J149"/>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Y141:Y142"/>
    <mergeCell ref="Z141:Z142"/>
    <mergeCell ref="AA141:AA142"/>
    <mergeCell ref="AC141:AC142"/>
    <mergeCell ref="AD141:AD142"/>
    <mergeCell ref="AE141:AE142"/>
    <mergeCell ref="AF141:AF142"/>
    <mergeCell ref="AG141:AG142"/>
    <mergeCell ref="Y146:Y147"/>
    <mergeCell ref="Z146:Z147"/>
    <mergeCell ref="AA146:AA147"/>
    <mergeCell ref="AC146:AC147"/>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Y135:Y136"/>
    <mergeCell ref="Z135:Z136"/>
    <mergeCell ref="AA135:AA136"/>
    <mergeCell ref="AC135:AC136"/>
    <mergeCell ref="AD135:AD136"/>
    <mergeCell ref="AE135:AE136"/>
    <mergeCell ref="AF135:AF136"/>
    <mergeCell ref="AG135:AG136"/>
    <mergeCell ref="Y137:Y138"/>
    <mergeCell ref="Z137:Z138"/>
    <mergeCell ref="AA137:AA138"/>
    <mergeCell ref="AC137:AC138"/>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B124:AH124"/>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6:AD107"/>
    <mergeCell ref="AE106:AE107"/>
    <mergeCell ref="AF106:AF107"/>
    <mergeCell ref="AD110:AD111"/>
    <mergeCell ref="AE110:AE111"/>
    <mergeCell ref="AF110:AF111"/>
    <mergeCell ref="AD112:AD113"/>
    <mergeCell ref="AE112:AE113"/>
    <mergeCell ref="AF112:AF113"/>
    <mergeCell ref="J100:J101"/>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L96:L97"/>
    <mergeCell ref="M96:M97"/>
    <mergeCell ref="N96:N97"/>
    <mergeCell ref="E98:E99"/>
    <mergeCell ref="F98:F99"/>
    <mergeCell ref="G98:G99"/>
    <mergeCell ref="H98:H99"/>
    <mergeCell ref="K98:K99"/>
    <mergeCell ref="L98:L99"/>
    <mergeCell ref="M98:M99"/>
    <mergeCell ref="N98:N99"/>
    <mergeCell ref="Q98:Q99"/>
    <mergeCell ref="R98:R99"/>
    <mergeCell ref="S98:S99"/>
    <mergeCell ref="T98:T99"/>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AD85:AD86"/>
    <mergeCell ref="AE85:AE86"/>
    <mergeCell ref="AF85:AF86"/>
    <mergeCell ref="AD87:AD88"/>
    <mergeCell ref="AE87:AE88"/>
    <mergeCell ref="AF87:AF88"/>
    <mergeCell ref="D74:D75"/>
    <mergeCell ref="J74:J75"/>
    <mergeCell ref="P74:P75"/>
    <mergeCell ref="V74:V75"/>
    <mergeCell ref="AB74:AB75"/>
    <mergeCell ref="AH74:AH75"/>
    <mergeCell ref="R74:R75"/>
    <mergeCell ref="S74:S75"/>
    <mergeCell ref="T74:T75"/>
    <mergeCell ref="W74:W75"/>
    <mergeCell ref="D71:D72"/>
    <mergeCell ref="J71:J72"/>
    <mergeCell ref="P71:P72"/>
    <mergeCell ref="V71:V72"/>
    <mergeCell ref="AB71:AB72"/>
    <mergeCell ref="AH71:AH72"/>
    <mergeCell ref="R71:R72"/>
    <mergeCell ref="S71:S72"/>
    <mergeCell ref="T71:T72"/>
    <mergeCell ref="W71:W72"/>
    <mergeCell ref="E74:E75"/>
    <mergeCell ref="F74:F75"/>
    <mergeCell ref="G74:G75"/>
    <mergeCell ref="H74:H75"/>
    <mergeCell ref="K74:K75"/>
    <mergeCell ref="L74:L75"/>
    <mergeCell ref="M74:M75"/>
    <mergeCell ref="N74:N75"/>
    <mergeCell ref="Q74:Q75"/>
    <mergeCell ref="X74:X75"/>
    <mergeCell ref="Y74:Y75"/>
    <mergeCell ref="Z74:Z75"/>
    <mergeCell ref="D69:D70"/>
    <mergeCell ref="J69:J70"/>
    <mergeCell ref="P69:P70"/>
    <mergeCell ref="V69:V70"/>
    <mergeCell ref="AB69:AB70"/>
    <mergeCell ref="AH69:AH70"/>
    <mergeCell ref="R69:R70"/>
    <mergeCell ref="S69:S70"/>
    <mergeCell ref="T69:T70"/>
    <mergeCell ref="W69:W70"/>
    <mergeCell ref="D67:D68"/>
    <mergeCell ref="J67:J68"/>
    <mergeCell ref="P67:P68"/>
    <mergeCell ref="V67:V68"/>
    <mergeCell ref="AB67:AB68"/>
    <mergeCell ref="AH67:AH68"/>
    <mergeCell ref="R67:R68"/>
    <mergeCell ref="S67:S68"/>
    <mergeCell ref="T67:T68"/>
    <mergeCell ref="W67:W68"/>
    <mergeCell ref="E69:E70"/>
    <mergeCell ref="F69:F70"/>
    <mergeCell ref="G69:G70"/>
    <mergeCell ref="H69:H70"/>
    <mergeCell ref="K69:K70"/>
    <mergeCell ref="L69:L70"/>
    <mergeCell ref="M69:M70"/>
    <mergeCell ref="N69:N70"/>
    <mergeCell ref="Q69:Q70"/>
    <mergeCell ref="X69:X70"/>
    <mergeCell ref="Y69:Y70"/>
    <mergeCell ref="Z69:Z70"/>
    <mergeCell ref="D65:D66"/>
    <mergeCell ref="J65:J66"/>
    <mergeCell ref="P65:P66"/>
    <mergeCell ref="V65:V66"/>
    <mergeCell ref="AB65:AB66"/>
    <mergeCell ref="AH65:AH66"/>
    <mergeCell ref="R65:R66"/>
    <mergeCell ref="S65:S66"/>
    <mergeCell ref="T65:T66"/>
    <mergeCell ref="W65:W66"/>
    <mergeCell ref="D63:D64"/>
    <mergeCell ref="J63:J64"/>
    <mergeCell ref="P63:P64"/>
    <mergeCell ref="V63:V64"/>
    <mergeCell ref="AB63:AB64"/>
    <mergeCell ref="AH63:AH64"/>
    <mergeCell ref="R63:R64"/>
    <mergeCell ref="S63:S64"/>
    <mergeCell ref="T63:T64"/>
    <mergeCell ref="W63:W64"/>
    <mergeCell ref="E65:E66"/>
    <mergeCell ref="F65:F66"/>
    <mergeCell ref="G65:G66"/>
    <mergeCell ref="H65:H66"/>
    <mergeCell ref="K65:K66"/>
    <mergeCell ref="L65:L66"/>
    <mergeCell ref="M65:M66"/>
    <mergeCell ref="N65:N66"/>
    <mergeCell ref="Q65:Q66"/>
    <mergeCell ref="X65:X66"/>
    <mergeCell ref="Y65:Y66"/>
    <mergeCell ref="Z65:Z66"/>
    <mergeCell ref="AH59:AH60"/>
    <mergeCell ref="D61:D62"/>
    <mergeCell ref="I61:I62"/>
    <mergeCell ref="J61:J62"/>
    <mergeCell ref="P61:P62"/>
    <mergeCell ref="V61:V62"/>
    <mergeCell ref="AB61:AB62"/>
    <mergeCell ref="AH61:AH62"/>
    <mergeCell ref="D59:D60"/>
    <mergeCell ref="I59:I60"/>
    <mergeCell ref="J59:J60"/>
    <mergeCell ref="P59:P60"/>
    <mergeCell ref="V59:V60"/>
    <mergeCell ref="AB59:AB60"/>
    <mergeCell ref="AH54:AH55"/>
    <mergeCell ref="D56:D57"/>
    <mergeCell ref="I56:I57"/>
    <mergeCell ref="J56:J57"/>
    <mergeCell ref="P56:P57"/>
    <mergeCell ref="V56:V57"/>
    <mergeCell ref="AH56:AH57"/>
    <mergeCell ref="D54:D55"/>
    <mergeCell ref="I54:I55"/>
    <mergeCell ref="J54:J55"/>
    <mergeCell ref="P54:P55"/>
    <mergeCell ref="V54:V55"/>
    <mergeCell ref="AB54:AB55"/>
    <mergeCell ref="R54:R55"/>
    <mergeCell ref="S54:S55"/>
    <mergeCell ref="E54:E55"/>
    <mergeCell ref="F54:F55"/>
    <mergeCell ref="G54:G55"/>
    <mergeCell ref="I52:I53"/>
    <mergeCell ref="J52:J53"/>
    <mergeCell ref="P52:P53"/>
    <mergeCell ref="V52:V53"/>
    <mergeCell ref="AB52:AB53"/>
    <mergeCell ref="AH52:AH53"/>
    <mergeCell ref="D50:D51"/>
    <mergeCell ref="I50:I51"/>
    <mergeCell ref="AH46:AH47"/>
    <mergeCell ref="D48:D49"/>
    <mergeCell ref="I48:I49"/>
    <mergeCell ref="J48:J49"/>
    <mergeCell ref="P48:P49"/>
    <mergeCell ref="V48:V49"/>
    <mergeCell ref="L46:L47"/>
    <mergeCell ref="M46:M47"/>
    <mergeCell ref="J50:J51"/>
    <mergeCell ref="P50:P51"/>
    <mergeCell ref="V50:V51"/>
    <mergeCell ref="AB50:AB51"/>
    <mergeCell ref="E46:E47"/>
    <mergeCell ref="F46:F47"/>
    <mergeCell ref="G46:G47"/>
    <mergeCell ref="H46:H47"/>
    <mergeCell ref="K46:K47"/>
    <mergeCell ref="N46:N47"/>
    <mergeCell ref="Q46:Q47"/>
    <mergeCell ref="R46:R47"/>
    <mergeCell ref="S46:S47"/>
    <mergeCell ref="T46:T47"/>
    <mergeCell ref="AH44:AH45"/>
    <mergeCell ref="D42:D43"/>
    <mergeCell ref="I42:I43"/>
    <mergeCell ref="AB48:AB49"/>
    <mergeCell ref="AH48:AH49"/>
    <mergeCell ref="D46:D47"/>
    <mergeCell ref="I46:I47"/>
    <mergeCell ref="J46:J47"/>
    <mergeCell ref="P46:P47"/>
    <mergeCell ref="V46:V47"/>
    <mergeCell ref="D44:D45"/>
    <mergeCell ref="I44:I45"/>
    <mergeCell ref="J44:J45"/>
    <mergeCell ref="P44:P45"/>
    <mergeCell ref="V44:V45"/>
    <mergeCell ref="AB44:AB45"/>
    <mergeCell ref="D40:D41"/>
    <mergeCell ref="I40:I41"/>
    <mergeCell ref="J40:J41"/>
    <mergeCell ref="P40:P41"/>
    <mergeCell ref="V40:V41"/>
    <mergeCell ref="AH42:AH43"/>
    <mergeCell ref="S40:S41"/>
    <mergeCell ref="J42:J43"/>
    <mergeCell ref="P42:P43"/>
    <mergeCell ref="V42:V43"/>
    <mergeCell ref="AB42:AB43"/>
    <mergeCell ref="M42:M43"/>
    <mergeCell ref="N42:N43"/>
    <mergeCell ref="Q42:Q43"/>
    <mergeCell ref="R42:R43"/>
    <mergeCell ref="S42:S43"/>
    <mergeCell ref="AH37:AH38"/>
    <mergeCell ref="B39:AH39"/>
    <mergeCell ref="AH35:AH36"/>
    <mergeCell ref="AB40:AB41"/>
    <mergeCell ref="AH40:AH41"/>
    <mergeCell ref="D37:D38"/>
    <mergeCell ref="J37:J38"/>
    <mergeCell ref="O37:O38"/>
    <mergeCell ref="P37:P38"/>
    <mergeCell ref="V37:V38"/>
    <mergeCell ref="AB37:AB38"/>
    <mergeCell ref="R40:R41"/>
    <mergeCell ref="Q33:Q34"/>
    <mergeCell ref="AB33:AB34"/>
    <mergeCell ref="AH33:AH34"/>
    <mergeCell ref="D35:D36"/>
    <mergeCell ref="I35:I36"/>
    <mergeCell ref="J35:J36"/>
    <mergeCell ref="O35:O36"/>
    <mergeCell ref="P35:P36"/>
    <mergeCell ref="V35:V36"/>
    <mergeCell ref="AB35:AB36"/>
    <mergeCell ref="E35:E36"/>
    <mergeCell ref="F35:F36"/>
    <mergeCell ref="G35:G36"/>
    <mergeCell ref="H35:H36"/>
    <mergeCell ref="K35:K36"/>
    <mergeCell ref="L35:L36"/>
    <mergeCell ref="M35:M36"/>
    <mergeCell ref="N35:N36"/>
    <mergeCell ref="Q35:Q36"/>
    <mergeCell ref="R35:R36"/>
    <mergeCell ref="AH31:AH32"/>
    <mergeCell ref="D33:D34"/>
    <mergeCell ref="I33:I34"/>
    <mergeCell ref="J33:J34"/>
    <mergeCell ref="O33:O34"/>
    <mergeCell ref="P33:P34"/>
    <mergeCell ref="V33:V34"/>
    <mergeCell ref="L33:L34"/>
    <mergeCell ref="M33:M34"/>
    <mergeCell ref="N33:N34"/>
    <mergeCell ref="S29:S30"/>
    <mergeCell ref="AB29:AB30"/>
    <mergeCell ref="AH29:AH30"/>
    <mergeCell ref="D31:D32"/>
    <mergeCell ref="I31:I32"/>
    <mergeCell ref="J31:J32"/>
    <mergeCell ref="O31:O32"/>
    <mergeCell ref="P31:P32"/>
    <mergeCell ref="V31:V32"/>
    <mergeCell ref="AB31:AB32"/>
    <mergeCell ref="E31:E32"/>
    <mergeCell ref="F31:F32"/>
    <mergeCell ref="G31:G32"/>
    <mergeCell ref="H31:H32"/>
    <mergeCell ref="K31:K32"/>
    <mergeCell ref="L31:L32"/>
    <mergeCell ref="M31:M32"/>
    <mergeCell ref="N31:N32"/>
    <mergeCell ref="Q31:Q32"/>
    <mergeCell ref="R31:R32"/>
    <mergeCell ref="S31:S32"/>
    <mergeCell ref="T31:T32"/>
    <mergeCell ref="AH27:AH28"/>
    <mergeCell ref="D29:D30"/>
    <mergeCell ref="I29:I30"/>
    <mergeCell ref="J29:J30"/>
    <mergeCell ref="O29:O30"/>
    <mergeCell ref="P29:P30"/>
    <mergeCell ref="V29:V30"/>
    <mergeCell ref="N29:N30"/>
    <mergeCell ref="Q29:Q30"/>
    <mergeCell ref="R29:R30"/>
    <mergeCell ref="N25:N26"/>
    <mergeCell ref="Q25:Q26"/>
    <mergeCell ref="AB25:AB26"/>
    <mergeCell ref="AH25:AH26"/>
    <mergeCell ref="D27:D28"/>
    <mergeCell ref="I27:I28"/>
    <mergeCell ref="J27:J28"/>
    <mergeCell ref="O27:O28"/>
    <mergeCell ref="P27:P28"/>
    <mergeCell ref="V27:V28"/>
    <mergeCell ref="E27:E28"/>
    <mergeCell ref="F27:F28"/>
    <mergeCell ref="G27:G28"/>
    <mergeCell ref="H27:H28"/>
    <mergeCell ref="K27:K28"/>
    <mergeCell ref="L27:L28"/>
    <mergeCell ref="M27:M28"/>
    <mergeCell ref="N27:N28"/>
    <mergeCell ref="Q27:Q28"/>
    <mergeCell ref="R27:R28"/>
    <mergeCell ref="S27:S28"/>
    <mergeCell ref="T27:T28"/>
    <mergeCell ref="AH23:AH24"/>
    <mergeCell ref="D25:D26"/>
    <mergeCell ref="I25:I26"/>
    <mergeCell ref="J25:J26"/>
    <mergeCell ref="O25:O26"/>
    <mergeCell ref="P25:P26"/>
    <mergeCell ref="V25:V26"/>
    <mergeCell ref="L25:L26"/>
    <mergeCell ref="M25:M26"/>
    <mergeCell ref="R21:R22"/>
    <mergeCell ref="S21:S22"/>
    <mergeCell ref="AB21:AB22"/>
    <mergeCell ref="AH21:AH22"/>
    <mergeCell ref="D23:D24"/>
    <mergeCell ref="I23:I24"/>
    <mergeCell ref="J23:J24"/>
    <mergeCell ref="O23:O24"/>
    <mergeCell ref="P23:P24"/>
    <mergeCell ref="V23:V24"/>
    <mergeCell ref="E23:E24"/>
    <mergeCell ref="F23:F24"/>
    <mergeCell ref="G23:G24"/>
    <mergeCell ref="H23:H24"/>
    <mergeCell ref="K23:K24"/>
    <mergeCell ref="L23:L24"/>
    <mergeCell ref="M23:M24"/>
    <mergeCell ref="N23:N24"/>
    <mergeCell ref="Q23:Q24"/>
    <mergeCell ref="R23:R24"/>
    <mergeCell ref="S23:S24"/>
    <mergeCell ref="T23:T24"/>
    <mergeCell ref="AH19:AH20"/>
    <mergeCell ref="Q17:Q18"/>
    <mergeCell ref="D21:D22"/>
    <mergeCell ref="I21:I22"/>
    <mergeCell ref="J21:J22"/>
    <mergeCell ref="O21:O22"/>
    <mergeCell ref="P21:P22"/>
    <mergeCell ref="V21:V22"/>
    <mergeCell ref="N21:N22"/>
    <mergeCell ref="Q21:Q22"/>
    <mergeCell ref="D19:D20"/>
    <mergeCell ref="I19:I20"/>
    <mergeCell ref="J19:J20"/>
    <mergeCell ref="O19:O20"/>
    <mergeCell ref="P19:P20"/>
    <mergeCell ref="V19:V20"/>
    <mergeCell ref="AH15:AH16"/>
    <mergeCell ref="D17:D18"/>
    <mergeCell ref="I17:I18"/>
    <mergeCell ref="J17:J18"/>
    <mergeCell ref="O17:O18"/>
    <mergeCell ref="P17:P18"/>
    <mergeCell ref="V17:V18"/>
    <mergeCell ref="AB17:AB18"/>
    <mergeCell ref="AH17:AH18"/>
    <mergeCell ref="K17:K18"/>
    <mergeCell ref="L17:L18"/>
    <mergeCell ref="M17:M18"/>
    <mergeCell ref="N17:N18"/>
    <mergeCell ref="R17:R18"/>
    <mergeCell ref="S17:S18"/>
    <mergeCell ref="T17:T18"/>
    <mergeCell ref="E11:J11"/>
    <mergeCell ref="K11:O11"/>
    <mergeCell ref="Q11:U11"/>
    <mergeCell ref="W11:AA11"/>
    <mergeCell ref="AC11:AG11"/>
    <mergeCell ref="D15:D16"/>
    <mergeCell ref="I15:I16"/>
    <mergeCell ref="J15:J16"/>
    <mergeCell ref="O15:O16"/>
    <mergeCell ref="P15:P16"/>
    <mergeCell ref="Y5:Y6"/>
    <mergeCell ref="E10:I10"/>
    <mergeCell ref="K10:P10"/>
    <mergeCell ref="Q10:V10"/>
    <mergeCell ref="W10:AA10"/>
    <mergeCell ref="AC10:AG10"/>
    <mergeCell ref="A8:Q8"/>
    <mergeCell ref="B10:B12"/>
    <mergeCell ref="C10:C12"/>
    <mergeCell ref="AG15:AG16"/>
    <mergeCell ref="B215:C216"/>
    <mergeCell ref="C150:C151"/>
    <mergeCell ref="B153:B158"/>
    <mergeCell ref="C155:C156"/>
    <mergeCell ref="B190:C191"/>
    <mergeCell ref="B192:C193"/>
    <mergeCell ref="C179:C180"/>
    <mergeCell ref="C146:C147"/>
    <mergeCell ref="B137:B142"/>
    <mergeCell ref="B108:C108"/>
    <mergeCell ref="B125:B130"/>
    <mergeCell ref="C127:C128"/>
    <mergeCell ref="B110:C111"/>
    <mergeCell ref="C133:C134"/>
    <mergeCell ref="C141:C142"/>
    <mergeCell ref="C120:C121"/>
    <mergeCell ref="C116:C117"/>
    <mergeCell ref="C202:C203"/>
    <mergeCell ref="B189:AH189"/>
    <mergeCell ref="A74:A79"/>
    <mergeCell ref="B109:C109"/>
    <mergeCell ref="B77:C77"/>
    <mergeCell ref="A82:A107"/>
    <mergeCell ref="A109:A123"/>
    <mergeCell ref="B118:B123"/>
    <mergeCell ref="C118:C119"/>
    <mergeCell ref="C122:C123"/>
    <mergeCell ref="C104:C105"/>
    <mergeCell ref="B112:B117"/>
    <mergeCell ref="C93:C94"/>
    <mergeCell ref="A59:A72"/>
    <mergeCell ref="B71:C72"/>
    <mergeCell ref="B81:C81"/>
    <mergeCell ref="C85:C86"/>
    <mergeCell ref="B69:C70"/>
    <mergeCell ref="C89:C90"/>
    <mergeCell ref="B61:C62"/>
    <mergeCell ref="B96:B101"/>
    <mergeCell ref="C96:C97"/>
    <mergeCell ref="C83:C84"/>
    <mergeCell ref="B78:C79"/>
    <mergeCell ref="B76:C76"/>
    <mergeCell ref="B83:B88"/>
    <mergeCell ref="B80:AH80"/>
    <mergeCell ref="C112:C113"/>
    <mergeCell ref="C114:C115"/>
    <mergeCell ref="C106:C107"/>
    <mergeCell ref="B102:B107"/>
    <mergeCell ref="C98:C99"/>
    <mergeCell ref="E61:E62"/>
    <mergeCell ref="F61:F62"/>
    <mergeCell ref="B131:B136"/>
    <mergeCell ref="B146:B151"/>
    <mergeCell ref="C131:C132"/>
    <mergeCell ref="C125:C126"/>
    <mergeCell ref="C129:C130"/>
    <mergeCell ref="C139:C140"/>
    <mergeCell ref="C135:C136"/>
    <mergeCell ref="C137:C138"/>
    <mergeCell ref="C48:C49"/>
    <mergeCell ref="C91:C92"/>
    <mergeCell ref="C87:C88"/>
    <mergeCell ref="B67:C68"/>
    <mergeCell ref="B46:B51"/>
    <mergeCell ref="B63:C64"/>
    <mergeCell ref="B65:C66"/>
    <mergeCell ref="B74:C75"/>
    <mergeCell ref="B58:AH58"/>
    <mergeCell ref="B73:AH73"/>
    <mergeCell ref="B59:C60"/>
    <mergeCell ref="B52:B57"/>
    <mergeCell ref="C102:C103"/>
    <mergeCell ref="C100:C101"/>
    <mergeCell ref="G61:G62"/>
    <mergeCell ref="H61:H62"/>
    <mergeCell ref="K61:K62"/>
    <mergeCell ref="L61:L62"/>
    <mergeCell ref="M61:M62"/>
    <mergeCell ref="N61:N62"/>
    <mergeCell ref="Q61:Q62"/>
    <mergeCell ref="R61:R62"/>
    <mergeCell ref="AH50:AH51"/>
    <mergeCell ref="D52:D53"/>
    <mergeCell ref="C23:C24"/>
    <mergeCell ref="C37:C38"/>
    <mergeCell ref="C29:C30"/>
    <mergeCell ref="C31:C32"/>
    <mergeCell ref="C27:C28"/>
    <mergeCell ref="B33:B38"/>
    <mergeCell ref="C33:C34"/>
    <mergeCell ref="C35:C36"/>
    <mergeCell ref="A40:A57"/>
    <mergeCell ref="B40:B45"/>
    <mergeCell ref="C54:C55"/>
    <mergeCell ref="C40:C41"/>
    <mergeCell ref="A15:A38"/>
    <mergeCell ref="C44:C45"/>
    <mergeCell ref="B27:B32"/>
    <mergeCell ref="C52:C53"/>
    <mergeCell ref="C50:C51"/>
    <mergeCell ref="C56:C57"/>
    <mergeCell ref="C46:C47"/>
    <mergeCell ref="C21:C22"/>
    <mergeCell ref="B15:B20"/>
    <mergeCell ref="C17:C18"/>
    <mergeCell ref="C19:C20"/>
    <mergeCell ref="C42:C43"/>
    <mergeCell ref="B89:B94"/>
    <mergeCell ref="B95:C95"/>
    <mergeCell ref="B232:C233"/>
    <mergeCell ref="C204:C205"/>
    <mergeCell ref="C206:C207"/>
    <mergeCell ref="A222:A223"/>
    <mergeCell ref="B222:B223"/>
    <mergeCell ref="C222:C223"/>
    <mergeCell ref="B202:B207"/>
    <mergeCell ref="B228:C229"/>
    <mergeCell ref="A196:A211"/>
    <mergeCell ref="B196:C197"/>
    <mergeCell ref="B208:C209"/>
    <mergeCell ref="B210:C211"/>
    <mergeCell ref="B200:C201"/>
    <mergeCell ref="A213:A218"/>
    <mergeCell ref="B213:C214"/>
    <mergeCell ref="C187:C188"/>
    <mergeCell ref="B177:B182"/>
    <mergeCell ref="C177:C178"/>
    <mergeCell ref="A190:A193"/>
    <mergeCell ref="B198:C199"/>
    <mergeCell ref="B194:C194"/>
    <mergeCell ref="B165:B170"/>
    <mergeCell ref="C167:C168"/>
    <mergeCell ref="B171:B176"/>
    <mergeCell ref="C175:C176"/>
    <mergeCell ref="C161:C162"/>
    <mergeCell ref="C185:C186"/>
    <mergeCell ref="C183:C184"/>
    <mergeCell ref="A125:A151"/>
    <mergeCell ref="A4:C4"/>
    <mergeCell ref="A7:C7"/>
    <mergeCell ref="B21:B26"/>
    <mergeCell ref="C15:C16"/>
    <mergeCell ref="C25:C26"/>
    <mergeCell ref="A5:B5"/>
    <mergeCell ref="A6:B6"/>
    <mergeCell ref="B14:AH14"/>
    <mergeCell ref="A2:Q2"/>
    <mergeCell ref="B249:B254"/>
    <mergeCell ref="B230:C231"/>
    <mergeCell ref="A237:A254"/>
    <mergeCell ref="B237:B242"/>
    <mergeCell ref="C241:C242"/>
    <mergeCell ref="C243:C244"/>
    <mergeCell ref="C245:C246"/>
    <mergeCell ref="C253:C254"/>
    <mergeCell ref="A226:A235"/>
    <mergeCell ref="A153:A188"/>
    <mergeCell ref="B183:B188"/>
    <mergeCell ref="C181:C182"/>
    <mergeCell ref="C157:C158"/>
    <mergeCell ref="C153:C154"/>
    <mergeCell ref="B159:B164"/>
    <mergeCell ref="C163:C164"/>
    <mergeCell ref="C159:C160"/>
    <mergeCell ref="C173:C174"/>
    <mergeCell ref="C169:C170"/>
    <mergeCell ref="C148:C149"/>
    <mergeCell ref="C239:C240"/>
    <mergeCell ref="C249:C250"/>
    <mergeCell ref="C251:C252"/>
    <mergeCell ref="C247:C248"/>
    <mergeCell ref="C165:C166"/>
    <mergeCell ref="B225:C225"/>
    <mergeCell ref="B243:B248"/>
    <mergeCell ref="C171:C172"/>
    <mergeCell ref="B226:C227"/>
    <mergeCell ref="D78:D79"/>
    <mergeCell ref="D83:D84"/>
    <mergeCell ref="D85:D86"/>
    <mergeCell ref="D87:D88"/>
    <mergeCell ref="D89:D90"/>
    <mergeCell ref="D91:D92"/>
    <mergeCell ref="D93:D94"/>
    <mergeCell ref="D102:D103"/>
    <mergeCell ref="D104:D105"/>
    <mergeCell ref="D106:D107"/>
    <mergeCell ref="D110:D111"/>
    <mergeCell ref="D100:D101"/>
    <mergeCell ref="D112:D113"/>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B236:AH236"/>
    <mergeCell ref="E237:E238"/>
    <mergeCell ref="F237:F238"/>
    <mergeCell ref="G237:G238"/>
    <mergeCell ref="E179:E180"/>
    <mergeCell ref="F179:F180"/>
    <mergeCell ref="G179:G180"/>
    <mergeCell ref="H179:H180"/>
    <mergeCell ref="K179:K180"/>
    <mergeCell ref="L179:L180"/>
    <mergeCell ref="M179:M18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B234:C235"/>
    <mergeCell ref="B143:B145"/>
    <mergeCell ref="B152:C152"/>
    <mergeCell ref="B217:C218"/>
    <mergeCell ref="K125:K126"/>
    <mergeCell ref="L125:L126"/>
    <mergeCell ref="M125:M126"/>
    <mergeCell ref="N125:N126"/>
    <mergeCell ref="O125:O126"/>
    <mergeCell ref="P125:P126"/>
    <mergeCell ref="Q125:Q126"/>
    <mergeCell ref="R125:R126"/>
    <mergeCell ref="S125:S126"/>
    <mergeCell ref="T125:T126"/>
    <mergeCell ref="U125:U126"/>
    <mergeCell ref="D179:D180"/>
    <mergeCell ref="D181:D182"/>
    <mergeCell ref="D183:D184"/>
    <mergeCell ref="D185:D186"/>
    <mergeCell ref="D187:D188"/>
    <mergeCell ref="D253:D254"/>
    <mergeCell ref="D190:D191"/>
    <mergeCell ref="D192:D193"/>
    <mergeCell ref="D237:D238"/>
    <mergeCell ref="D239:D240"/>
    <mergeCell ref="D241:D242"/>
    <mergeCell ref="D243:D244"/>
    <mergeCell ref="D196:D197"/>
    <mergeCell ref="D206:D207"/>
    <mergeCell ref="D210:D211"/>
    <mergeCell ref="D198:D199"/>
    <mergeCell ref="D208:D209"/>
    <mergeCell ref="D245:D246"/>
    <mergeCell ref="D247:D248"/>
    <mergeCell ref="D249:D250"/>
    <mergeCell ref="D251:D252"/>
    <mergeCell ref="AH125:AH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E125:E126"/>
    <mergeCell ref="F125:F126"/>
    <mergeCell ref="G125:G126"/>
    <mergeCell ref="H125:H126"/>
    <mergeCell ref="I125:I126"/>
    <mergeCell ref="J125:J126"/>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J129:J130"/>
    <mergeCell ref="P129:P130"/>
    <mergeCell ref="V129:V130"/>
    <mergeCell ref="Y129:Y130"/>
    <mergeCell ref="Z129:Z130"/>
    <mergeCell ref="AA129:AA130"/>
    <mergeCell ref="AC129:AC130"/>
    <mergeCell ref="AD129:AD130"/>
    <mergeCell ref="AE129:AE130"/>
    <mergeCell ref="AF129:AF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J137:J138"/>
    <mergeCell ref="AD137:AD138"/>
    <mergeCell ref="AE137:AE138"/>
    <mergeCell ref="AF137:AF138"/>
    <mergeCell ref="AG137:AG138"/>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37:E138"/>
    <mergeCell ref="F137:F138"/>
    <mergeCell ref="G137:G138"/>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AD146:AD147"/>
    <mergeCell ref="AE146:AE147"/>
    <mergeCell ref="AF146:AF147"/>
    <mergeCell ref="AG146:AG147"/>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AG148:AG149"/>
    <mergeCell ref="E146:E147"/>
    <mergeCell ref="F146:F147"/>
    <mergeCell ref="G146:G147"/>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T42:T43"/>
    <mergeCell ref="W42:W43"/>
    <mergeCell ref="X42:X43"/>
    <mergeCell ref="Y42:Y43"/>
    <mergeCell ref="Z42:Z43"/>
    <mergeCell ref="AC42:AC43"/>
    <mergeCell ref="AD42:AD43"/>
    <mergeCell ref="AE42:AE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AD46:AD47"/>
    <mergeCell ref="AE46:AE47"/>
    <mergeCell ref="AB46:AB47"/>
    <mergeCell ref="AF46:AF47"/>
    <mergeCell ref="E48:E49"/>
    <mergeCell ref="F48:F49"/>
    <mergeCell ref="G48:G49"/>
    <mergeCell ref="H48:H49"/>
    <mergeCell ref="K48:K49"/>
    <mergeCell ref="L48:L49"/>
    <mergeCell ref="M48:M49"/>
    <mergeCell ref="N48:N49"/>
    <mergeCell ref="Q48:Q49"/>
    <mergeCell ref="R48:R49"/>
    <mergeCell ref="S48:S49"/>
    <mergeCell ref="T48:T49"/>
    <mergeCell ref="W48:W49"/>
    <mergeCell ref="X48:X49"/>
    <mergeCell ref="Y48:Y49"/>
    <mergeCell ref="Z48:Z49"/>
    <mergeCell ref="AC48:AC49"/>
    <mergeCell ref="AD48:AD49"/>
    <mergeCell ref="AE48:AE49"/>
    <mergeCell ref="AF48:AF49"/>
    <mergeCell ref="F50:F51"/>
    <mergeCell ref="G50:G51"/>
    <mergeCell ref="H50:H51"/>
    <mergeCell ref="K50:K51"/>
    <mergeCell ref="L50:L51"/>
    <mergeCell ref="M50:M51"/>
    <mergeCell ref="N50:N51"/>
    <mergeCell ref="Q50:Q51"/>
    <mergeCell ref="R50:R51"/>
    <mergeCell ref="S50:S51"/>
    <mergeCell ref="T50:T51"/>
    <mergeCell ref="W50:W51"/>
    <mergeCell ref="X50:X51"/>
    <mergeCell ref="Y50:Y51"/>
    <mergeCell ref="Z50:Z51"/>
    <mergeCell ref="AC50:AC51"/>
    <mergeCell ref="W46:W47"/>
    <mergeCell ref="X46:X47"/>
    <mergeCell ref="Y46:Y47"/>
    <mergeCell ref="Z46:Z47"/>
    <mergeCell ref="AC46:AC47"/>
    <mergeCell ref="H56:H57"/>
    <mergeCell ref="K56:K57"/>
    <mergeCell ref="L56:L57"/>
    <mergeCell ref="M56:M57"/>
    <mergeCell ref="N56:N57"/>
    <mergeCell ref="Q56:Q57"/>
    <mergeCell ref="R56:R57"/>
    <mergeCell ref="S56:S57"/>
    <mergeCell ref="T56:T57"/>
    <mergeCell ref="W56:W57"/>
    <mergeCell ref="X56:X57"/>
    <mergeCell ref="Y56:Y57"/>
    <mergeCell ref="Z56:Z57"/>
    <mergeCell ref="AC56:AC57"/>
    <mergeCell ref="AD50:AD51"/>
    <mergeCell ref="AE50:AE51"/>
    <mergeCell ref="AF50:AF51"/>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Z15:Z16"/>
    <mergeCell ref="AA15:AA16"/>
    <mergeCell ref="AC15:AC16"/>
    <mergeCell ref="AD15:AD16"/>
    <mergeCell ref="AE15:AE16"/>
    <mergeCell ref="AB15:AB16"/>
    <mergeCell ref="AF15:AF16"/>
    <mergeCell ref="E17:E18"/>
    <mergeCell ref="F17:F18"/>
    <mergeCell ref="G17:G18"/>
    <mergeCell ref="H17:H18"/>
    <mergeCell ref="H54:H55"/>
    <mergeCell ref="K54:K55"/>
    <mergeCell ref="L54:L55"/>
    <mergeCell ref="M54:M55"/>
    <mergeCell ref="N54:N55"/>
    <mergeCell ref="Q54:Q55"/>
    <mergeCell ref="T54:T55"/>
    <mergeCell ref="W54:W55"/>
    <mergeCell ref="X54:X55"/>
    <mergeCell ref="Y54:Y55"/>
    <mergeCell ref="Z54:Z55"/>
    <mergeCell ref="AC54:AC55"/>
    <mergeCell ref="AD54:AD55"/>
    <mergeCell ref="AE54:AE55"/>
    <mergeCell ref="AF54:AF55"/>
    <mergeCell ref="E52:E53"/>
    <mergeCell ref="F52:F53"/>
    <mergeCell ref="G52:G53"/>
    <mergeCell ref="AE52:AE53"/>
    <mergeCell ref="AF52:AF53"/>
    <mergeCell ref="E50:E51"/>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X15:X16"/>
    <mergeCell ref="V15:V16"/>
    <mergeCell ref="Y15:Y16"/>
    <mergeCell ref="U17:U18"/>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B19:AB20"/>
    <mergeCell ref="AE19:AE20"/>
    <mergeCell ref="AF19:AF20"/>
    <mergeCell ref="AG19:AG20"/>
    <mergeCell ref="E21:E22"/>
    <mergeCell ref="F21:F22"/>
    <mergeCell ref="G21:G22"/>
    <mergeCell ref="H21:H22"/>
    <mergeCell ref="K21:K22"/>
    <mergeCell ref="L21:L22"/>
    <mergeCell ref="M21:M22"/>
    <mergeCell ref="T21:T22"/>
    <mergeCell ref="U21:U22"/>
    <mergeCell ref="W21:W22"/>
    <mergeCell ref="X21:X22"/>
    <mergeCell ref="Y21:Y22"/>
    <mergeCell ref="Z21:Z22"/>
    <mergeCell ref="AA21:AA22"/>
    <mergeCell ref="AC21:AC22"/>
    <mergeCell ref="AD21:AD22"/>
    <mergeCell ref="AE21:AE22"/>
    <mergeCell ref="AF21:AF22"/>
    <mergeCell ref="AG21:AG22"/>
    <mergeCell ref="U23:U24"/>
    <mergeCell ref="W23:W24"/>
    <mergeCell ref="X23:X24"/>
    <mergeCell ref="Y23:Y24"/>
    <mergeCell ref="Z23:Z24"/>
    <mergeCell ref="AA23:AA24"/>
    <mergeCell ref="AC23:AC24"/>
    <mergeCell ref="AD23:AD24"/>
    <mergeCell ref="AE23:AE24"/>
    <mergeCell ref="AF23:AF24"/>
    <mergeCell ref="AG23:AG24"/>
    <mergeCell ref="E25:E26"/>
    <mergeCell ref="F25:F26"/>
    <mergeCell ref="G25:G26"/>
    <mergeCell ref="H25:H26"/>
    <mergeCell ref="K25:K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B23:AB24"/>
    <mergeCell ref="U27:U28"/>
    <mergeCell ref="W27:W28"/>
    <mergeCell ref="X27:X28"/>
    <mergeCell ref="Y27:Y28"/>
    <mergeCell ref="Z27:Z28"/>
    <mergeCell ref="AA27:AA28"/>
    <mergeCell ref="AC27:AC28"/>
    <mergeCell ref="AD27:AD28"/>
    <mergeCell ref="AB27:AB28"/>
    <mergeCell ref="AE27:AE28"/>
    <mergeCell ref="AF27:AF28"/>
    <mergeCell ref="AG27:AG28"/>
    <mergeCell ref="E29:E30"/>
    <mergeCell ref="F29:F30"/>
    <mergeCell ref="G29:G30"/>
    <mergeCell ref="H29:H30"/>
    <mergeCell ref="K29:K30"/>
    <mergeCell ref="L29:L30"/>
    <mergeCell ref="M29:M30"/>
    <mergeCell ref="T29:T30"/>
    <mergeCell ref="U29:U30"/>
    <mergeCell ref="W29:W30"/>
    <mergeCell ref="X29:X30"/>
    <mergeCell ref="Y29:Y30"/>
    <mergeCell ref="Z29:Z30"/>
    <mergeCell ref="AA29:AA30"/>
    <mergeCell ref="AC29:AC30"/>
    <mergeCell ref="AD29:AD30"/>
    <mergeCell ref="AE29:AE30"/>
    <mergeCell ref="AF29:AF30"/>
    <mergeCell ref="AG29:AG30"/>
    <mergeCell ref="U31:U32"/>
    <mergeCell ref="W31:W32"/>
    <mergeCell ref="X31:X32"/>
    <mergeCell ref="Y31:Y32"/>
    <mergeCell ref="Z31:Z32"/>
    <mergeCell ref="AA31:AA32"/>
    <mergeCell ref="AC31:AC32"/>
    <mergeCell ref="AD31:AD32"/>
    <mergeCell ref="AE31:AE32"/>
    <mergeCell ref="AF31:AF32"/>
    <mergeCell ref="AG31:AG32"/>
    <mergeCell ref="E33:E34"/>
    <mergeCell ref="F33:F34"/>
    <mergeCell ref="G33:G34"/>
    <mergeCell ref="H33:H34"/>
    <mergeCell ref="K33:K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AD56:AD57"/>
    <mergeCell ref="AE56:AE57"/>
    <mergeCell ref="AB56:AB57"/>
    <mergeCell ref="AF56:AF57"/>
    <mergeCell ref="E56:E57"/>
    <mergeCell ref="F56:F57"/>
    <mergeCell ref="G56:G57"/>
    <mergeCell ref="S61:S62"/>
    <mergeCell ref="T61:T62"/>
    <mergeCell ref="W61:W62"/>
    <mergeCell ref="X61:X62"/>
    <mergeCell ref="Y61:Y62"/>
    <mergeCell ref="Z61:Z62"/>
    <mergeCell ref="AC61:AC62"/>
    <mergeCell ref="AD61:AD62"/>
    <mergeCell ref="AE61:AE62"/>
    <mergeCell ref="AF61:AF62"/>
    <mergeCell ref="E63:E64"/>
    <mergeCell ref="F63:F64"/>
    <mergeCell ref="G63:G64"/>
    <mergeCell ref="H63:H64"/>
    <mergeCell ref="K63:K64"/>
    <mergeCell ref="L63:L64"/>
    <mergeCell ref="M63:M64"/>
    <mergeCell ref="N63:N64"/>
    <mergeCell ref="Q63:Q64"/>
    <mergeCell ref="X63:X64"/>
    <mergeCell ref="Y63:Y64"/>
    <mergeCell ref="Z63:Z64"/>
    <mergeCell ref="AC63:AC64"/>
    <mergeCell ref="AD63:AD64"/>
    <mergeCell ref="AE63:AE64"/>
    <mergeCell ref="AF63:AF64"/>
    <mergeCell ref="AC65:AC66"/>
    <mergeCell ref="AD65:AD66"/>
    <mergeCell ref="AE65:AE66"/>
    <mergeCell ref="AF65:AF66"/>
    <mergeCell ref="E67:E68"/>
    <mergeCell ref="F67:F68"/>
    <mergeCell ref="G67:G68"/>
    <mergeCell ref="H67:H68"/>
    <mergeCell ref="K67:K68"/>
    <mergeCell ref="L67:L68"/>
    <mergeCell ref="M67:M68"/>
    <mergeCell ref="N67:N68"/>
    <mergeCell ref="Q67:Q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Q71:Q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J85:J86"/>
    <mergeCell ref="P85:P86"/>
    <mergeCell ref="V85:V86"/>
    <mergeCell ref="AB85:AB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Q93:Q94"/>
    <mergeCell ref="R93:R94"/>
    <mergeCell ref="S93:S94"/>
    <mergeCell ref="T93:T94"/>
    <mergeCell ref="W93:W94"/>
    <mergeCell ref="X93:X94"/>
    <mergeCell ref="Y93:Y94"/>
    <mergeCell ref="Z93:Z94"/>
    <mergeCell ref="AC93:AC94"/>
    <mergeCell ref="W89:W90"/>
    <mergeCell ref="X89:X90"/>
    <mergeCell ref="Y89:Y90"/>
    <mergeCell ref="Z89:Z90"/>
    <mergeCell ref="AC89:AC90"/>
    <mergeCell ref="AD89:AD90"/>
    <mergeCell ref="AE89:AE90"/>
    <mergeCell ref="AF89:AF90"/>
    <mergeCell ref="AD91:AD92"/>
    <mergeCell ref="AE91:AE92"/>
    <mergeCell ref="AF91:AF92"/>
    <mergeCell ref="AC100:AC101"/>
    <mergeCell ref="AD100:AD101"/>
    <mergeCell ref="AE100:AE101"/>
    <mergeCell ref="AF100:AF101"/>
    <mergeCell ref="AD93:AD94"/>
    <mergeCell ref="AE93:AE94"/>
    <mergeCell ref="AF93:AF94"/>
    <mergeCell ref="E96:E97"/>
    <mergeCell ref="F96:F97"/>
    <mergeCell ref="G96:G97"/>
    <mergeCell ref="H96:H97"/>
    <mergeCell ref="K96:K97"/>
    <mergeCell ref="Q96:Q97"/>
    <mergeCell ref="R96:R97"/>
    <mergeCell ref="S96:S97"/>
    <mergeCell ref="T96:T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M93:M94"/>
    <mergeCell ref="N93:N94"/>
    <mergeCell ref="R102:R103"/>
    <mergeCell ref="S102:S103"/>
    <mergeCell ref="T102:T103"/>
    <mergeCell ref="W102:W103"/>
    <mergeCell ref="X102:X103"/>
    <mergeCell ref="Y102:Y103"/>
    <mergeCell ref="Z102:Z103"/>
    <mergeCell ref="AC102:AC103"/>
    <mergeCell ref="W98:W99"/>
    <mergeCell ref="X98:X99"/>
    <mergeCell ref="Y98:Y99"/>
    <mergeCell ref="Z98:Z99"/>
    <mergeCell ref="AC98:AC99"/>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D102:AD103"/>
    <mergeCell ref="AE102:AE103"/>
    <mergeCell ref="AF102:AF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N102:N103"/>
    <mergeCell ref="Q102:Q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P110:P111"/>
    <mergeCell ref="V110:V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P118:P119"/>
    <mergeCell ref="V118:V119"/>
    <mergeCell ref="AB118:AB119"/>
    <mergeCell ref="N122:N123"/>
    <mergeCell ref="Q122:Q123"/>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2:AD123"/>
    <mergeCell ref="AE122:AE123"/>
    <mergeCell ref="AF122:AF123"/>
    <mergeCell ref="E153:E154"/>
    <mergeCell ref="F153:F154"/>
    <mergeCell ref="G153:G154"/>
    <mergeCell ref="H153:H154"/>
    <mergeCell ref="K153:K154"/>
    <mergeCell ref="L153:L154"/>
    <mergeCell ref="J153:J154"/>
    <mergeCell ref="M153:M154"/>
    <mergeCell ref="N153:N154"/>
    <mergeCell ref="Q153:Q154"/>
    <mergeCell ref="R153:R154"/>
    <mergeCell ref="S153:S154"/>
    <mergeCell ref="T153:T154"/>
    <mergeCell ref="P153:P154"/>
    <mergeCell ref="W153:W154"/>
    <mergeCell ref="X153:X154"/>
    <mergeCell ref="Y153:Y154"/>
    <mergeCell ref="Z153:Z154"/>
    <mergeCell ref="AC153:AC154"/>
    <mergeCell ref="AD153:AD154"/>
    <mergeCell ref="AE153:AE154"/>
    <mergeCell ref="AF153:AF154"/>
    <mergeCell ref="E122:E123"/>
    <mergeCell ref="F122:F123"/>
    <mergeCell ref="G122:G123"/>
    <mergeCell ref="H122:H123"/>
    <mergeCell ref="K122:K123"/>
    <mergeCell ref="L122:L123"/>
    <mergeCell ref="M122:M123"/>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J157:J158"/>
    <mergeCell ref="M157:M158"/>
    <mergeCell ref="N157:N158"/>
    <mergeCell ref="Q157:Q158"/>
    <mergeCell ref="R157:R158"/>
    <mergeCell ref="S157:S158"/>
    <mergeCell ref="T157:T158"/>
    <mergeCell ref="P157:P158"/>
    <mergeCell ref="W157:W158"/>
    <mergeCell ref="X157:X158"/>
    <mergeCell ref="Y157:Y158"/>
    <mergeCell ref="AD161:AD162"/>
    <mergeCell ref="AE161:AE162"/>
    <mergeCell ref="AF161:AF162"/>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V161:V162"/>
    <mergeCell ref="AB161:AB162"/>
    <mergeCell ref="N163:N164"/>
    <mergeCell ref="Q163:Q164"/>
    <mergeCell ref="R163:R164"/>
    <mergeCell ref="S163:S164"/>
    <mergeCell ref="T163:T164"/>
    <mergeCell ref="W163:W164"/>
    <mergeCell ref="X163:X164"/>
    <mergeCell ref="Y163:Y164"/>
    <mergeCell ref="Z163:Z164"/>
    <mergeCell ref="AC163:AC164"/>
    <mergeCell ref="AD159:AD160"/>
    <mergeCell ref="AE159:AE160"/>
    <mergeCell ref="AF159:AF160"/>
    <mergeCell ref="E161:E162"/>
    <mergeCell ref="F161:F162"/>
    <mergeCell ref="G161:G162"/>
    <mergeCell ref="H161:H162"/>
    <mergeCell ref="K161:K162"/>
    <mergeCell ref="L161:L162"/>
    <mergeCell ref="J161:J162"/>
    <mergeCell ref="M161:M162"/>
    <mergeCell ref="N161:N162"/>
    <mergeCell ref="Q161:Q162"/>
    <mergeCell ref="R161:R162"/>
    <mergeCell ref="S161:S162"/>
    <mergeCell ref="T161:T162"/>
    <mergeCell ref="P161:P162"/>
    <mergeCell ref="W161:W162"/>
    <mergeCell ref="X161:X162"/>
    <mergeCell ref="Y161:Y162"/>
    <mergeCell ref="Z161:Z162"/>
    <mergeCell ref="AC161:AC162"/>
    <mergeCell ref="AD163:AD164"/>
    <mergeCell ref="AE163:AE164"/>
    <mergeCell ref="AF163:AF164"/>
    <mergeCell ref="E165:E166"/>
    <mergeCell ref="F165:F166"/>
    <mergeCell ref="G165:G166"/>
    <mergeCell ref="H165:H166"/>
    <mergeCell ref="K165:K166"/>
    <mergeCell ref="L165:L166"/>
    <mergeCell ref="J165:J166"/>
    <mergeCell ref="M165:M166"/>
    <mergeCell ref="N165:N166"/>
    <mergeCell ref="Q165:Q166"/>
    <mergeCell ref="R165:R166"/>
    <mergeCell ref="S165:S166"/>
    <mergeCell ref="T165:T166"/>
    <mergeCell ref="P165:P166"/>
    <mergeCell ref="W165:W166"/>
    <mergeCell ref="X165:X166"/>
    <mergeCell ref="Y165:Y166"/>
    <mergeCell ref="Z165:Z166"/>
    <mergeCell ref="AC165:AC166"/>
    <mergeCell ref="AD165:AD166"/>
    <mergeCell ref="AE165:AE166"/>
    <mergeCell ref="AF165:AF166"/>
    <mergeCell ref="E163:E164"/>
    <mergeCell ref="F163:F164"/>
    <mergeCell ref="G163:G164"/>
    <mergeCell ref="H163:H164"/>
    <mergeCell ref="K163:K164"/>
    <mergeCell ref="L163:L164"/>
    <mergeCell ref="M163:M164"/>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J169:J170"/>
    <mergeCell ref="M169:M170"/>
    <mergeCell ref="N169:N170"/>
    <mergeCell ref="Q169:Q170"/>
    <mergeCell ref="R169:R170"/>
    <mergeCell ref="S169:S170"/>
    <mergeCell ref="T169:T170"/>
    <mergeCell ref="P169:P170"/>
    <mergeCell ref="W169:W170"/>
    <mergeCell ref="X169:X170"/>
    <mergeCell ref="Y169:Y170"/>
    <mergeCell ref="AD173:AD174"/>
    <mergeCell ref="AE173:AE174"/>
    <mergeCell ref="AF173:AF174"/>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V173:V174"/>
    <mergeCell ref="AB173:AB174"/>
    <mergeCell ref="N175:N176"/>
    <mergeCell ref="Q175:Q176"/>
    <mergeCell ref="R175:R176"/>
    <mergeCell ref="S175:S176"/>
    <mergeCell ref="T175:T176"/>
    <mergeCell ref="W175:W176"/>
    <mergeCell ref="X175:X176"/>
    <mergeCell ref="Y175:Y176"/>
    <mergeCell ref="Z175:Z176"/>
    <mergeCell ref="AC175:AC176"/>
    <mergeCell ref="AD171:AD172"/>
    <mergeCell ref="AE171:AE172"/>
    <mergeCell ref="AF171:AF172"/>
    <mergeCell ref="E173:E174"/>
    <mergeCell ref="F173:F174"/>
    <mergeCell ref="G173:G174"/>
    <mergeCell ref="H173:H174"/>
    <mergeCell ref="K173:K174"/>
    <mergeCell ref="L173:L174"/>
    <mergeCell ref="J173:J174"/>
    <mergeCell ref="M173:M174"/>
    <mergeCell ref="N173:N174"/>
    <mergeCell ref="Q173:Q174"/>
    <mergeCell ref="R173:R174"/>
    <mergeCell ref="S173:S174"/>
    <mergeCell ref="T173:T174"/>
    <mergeCell ref="P173:P174"/>
    <mergeCell ref="W173:W174"/>
    <mergeCell ref="X173:X174"/>
    <mergeCell ref="Y173:Y174"/>
    <mergeCell ref="Z173:Z174"/>
    <mergeCell ref="AC173:AC174"/>
    <mergeCell ref="AD175:AD176"/>
    <mergeCell ref="AE175:AE176"/>
    <mergeCell ref="AF175:AF176"/>
    <mergeCell ref="E177:E178"/>
    <mergeCell ref="F177:F178"/>
    <mergeCell ref="G177:G178"/>
    <mergeCell ref="H177:H178"/>
    <mergeCell ref="K177:K178"/>
    <mergeCell ref="L177:L178"/>
    <mergeCell ref="J177:J178"/>
    <mergeCell ref="M177:M178"/>
    <mergeCell ref="N177:N178"/>
    <mergeCell ref="Q177:Q178"/>
    <mergeCell ref="R177:R178"/>
    <mergeCell ref="S177:S178"/>
    <mergeCell ref="T177:T178"/>
    <mergeCell ref="P177:P178"/>
    <mergeCell ref="W177:W178"/>
    <mergeCell ref="X177:X178"/>
    <mergeCell ref="Y177:Y178"/>
    <mergeCell ref="Z177:Z178"/>
    <mergeCell ref="AC177:AC178"/>
    <mergeCell ref="AD177:AD178"/>
    <mergeCell ref="AE177:AE178"/>
    <mergeCell ref="AF177:AF178"/>
    <mergeCell ref="E175:E176"/>
    <mergeCell ref="F175:F176"/>
    <mergeCell ref="G175:G176"/>
    <mergeCell ref="H175:H176"/>
    <mergeCell ref="K175:K176"/>
    <mergeCell ref="L175:L176"/>
    <mergeCell ref="M175:M176"/>
    <mergeCell ref="Z179:Z180"/>
    <mergeCell ref="AC179:AC180"/>
    <mergeCell ref="AD179:AD180"/>
    <mergeCell ref="AE179:AE180"/>
    <mergeCell ref="AF179:AF180"/>
    <mergeCell ref="E181:E182"/>
    <mergeCell ref="F181:F182"/>
    <mergeCell ref="G181:G182"/>
    <mergeCell ref="H181:H182"/>
    <mergeCell ref="K181:K182"/>
    <mergeCell ref="L181:L182"/>
    <mergeCell ref="J181:J182"/>
    <mergeCell ref="M181:M182"/>
    <mergeCell ref="N181:N182"/>
    <mergeCell ref="Q181:Q182"/>
    <mergeCell ref="R181:R182"/>
    <mergeCell ref="S181:S182"/>
    <mergeCell ref="T181:T182"/>
    <mergeCell ref="P181:P182"/>
    <mergeCell ref="W181:W182"/>
    <mergeCell ref="X181:X182"/>
    <mergeCell ref="Y181:Y182"/>
    <mergeCell ref="Z181:Z182"/>
    <mergeCell ref="AC181:AC182"/>
    <mergeCell ref="AD181:AD182"/>
    <mergeCell ref="AE181:AE182"/>
    <mergeCell ref="AF181:AF182"/>
    <mergeCell ref="AD185:AD186"/>
    <mergeCell ref="AE185:AE186"/>
    <mergeCell ref="AF185:AF186"/>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V185:V186"/>
    <mergeCell ref="AB185:AB186"/>
    <mergeCell ref="N187:N188"/>
    <mergeCell ref="Q187:Q188"/>
    <mergeCell ref="R187:R188"/>
    <mergeCell ref="S187:S188"/>
    <mergeCell ref="T187:T188"/>
    <mergeCell ref="W187:W188"/>
    <mergeCell ref="X187:X188"/>
    <mergeCell ref="Y187:Y188"/>
    <mergeCell ref="Z187:Z188"/>
    <mergeCell ref="AC187:AC188"/>
    <mergeCell ref="AD183:AD184"/>
    <mergeCell ref="AE183:AE184"/>
    <mergeCell ref="AF183:AF184"/>
    <mergeCell ref="E185:E186"/>
    <mergeCell ref="F185:F186"/>
    <mergeCell ref="G185:G186"/>
    <mergeCell ref="H185:H186"/>
    <mergeCell ref="K185:K186"/>
    <mergeCell ref="L185:L186"/>
    <mergeCell ref="J185:J186"/>
    <mergeCell ref="M185:M186"/>
    <mergeCell ref="N185:N186"/>
    <mergeCell ref="Q185:Q186"/>
    <mergeCell ref="R185:R186"/>
    <mergeCell ref="S185:S186"/>
    <mergeCell ref="T185:T186"/>
    <mergeCell ref="P185:P186"/>
    <mergeCell ref="W185:W186"/>
    <mergeCell ref="X185:X186"/>
    <mergeCell ref="Y185:Y186"/>
    <mergeCell ref="Z185:Z186"/>
    <mergeCell ref="AC185:AC186"/>
    <mergeCell ref="AD187:AD188"/>
    <mergeCell ref="AE187:AE188"/>
    <mergeCell ref="AF187:AF188"/>
    <mergeCell ref="E190:E191"/>
    <mergeCell ref="F190:F191"/>
    <mergeCell ref="G190:G191"/>
    <mergeCell ref="H190:H191"/>
    <mergeCell ref="K190:K191"/>
    <mergeCell ref="L190:L191"/>
    <mergeCell ref="J190:J191"/>
    <mergeCell ref="M190:M191"/>
    <mergeCell ref="N190:N191"/>
    <mergeCell ref="Q190:Q191"/>
    <mergeCell ref="R190:R191"/>
    <mergeCell ref="S190:S191"/>
    <mergeCell ref="T190:T191"/>
    <mergeCell ref="P190:P191"/>
    <mergeCell ref="W190:W191"/>
    <mergeCell ref="X190:X191"/>
    <mergeCell ref="Y190:Y191"/>
    <mergeCell ref="Z190:Z191"/>
    <mergeCell ref="AC190:AC191"/>
    <mergeCell ref="AD190:AD191"/>
    <mergeCell ref="AE190:AE191"/>
    <mergeCell ref="AF190:AF191"/>
    <mergeCell ref="E187:E188"/>
    <mergeCell ref="F187:F188"/>
    <mergeCell ref="G187:G188"/>
    <mergeCell ref="H187:H188"/>
    <mergeCell ref="K187:K188"/>
    <mergeCell ref="L187:L188"/>
    <mergeCell ref="M187:M188"/>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H237:H238"/>
    <mergeCell ref="K237:K238"/>
    <mergeCell ref="L237:L238"/>
    <mergeCell ref="M237:M238"/>
    <mergeCell ref="N237:N238"/>
    <mergeCell ref="Q237:Q238"/>
    <mergeCell ref="J237:J238"/>
    <mergeCell ref="P237:P238"/>
    <mergeCell ref="R237:R238"/>
    <mergeCell ref="S237:S238"/>
    <mergeCell ref="T237:T238"/>
    <mergeCell ref="W237:W238"/>
    <mergeCell ref="X237:X238"/>
    <mergeCell ref="Y237:Y238"/>
    <mergeCell ref="V237:V238"/>
    <mergeCell ref="Z237:Z238"/>
    <mergeCell ref="AC237:AC238"/>
    <mergeCell ref="M243:M244"/>
    <mergeCell ref="N243:N244"/>
    <mergeCell ref="Q243:Q244"/>
    <mergeCell ref="R243:R244"/>
    <mergeCell ref="S243:S244"/>
    <mergeCell ref="T243:T244"/>
    <mergeCell ref="W243:W244"/>
    <mergeCell ref="X243:X244"/>
    <mergeCell ref="Y243:Y244"/>
    <mergeCell ref="Z243:Z244"/>
    <mergeCell ref="AC243:AC244"/>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J241:J242"/>
    <mergeCell ref="P241:P242"/>
    <mergeCell ref="V241:V242"/>
    <mergeCell ref="AB241:AB242"/>
    <mergeCell ref="AE247:AE248"/>
    <mergeCell ref="AF247:AF248"/>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M249:M250"/>
    <mergeCell ref="N249:N250"/>
    <mergeCell ref="Q249:Q250"/>
    <mergeCell ref="W249:W250"/>
    <mergeCell ref="X249:X250"/>
    <mergeCell ref="Y249:Y250"/>
    <mergeCell ref="Z249:Z250"/>
    <mergeCell ref="AC249:AC250"/>
    <mergeCell ref="AD249:AD250"/>
    <mergeCell ref="AB249:AB250"/>
    <mergeCell ref="AE249:AE250"/>
    <mergeCell ref="AD245:AD246"/>
    <mergeCell ref="AE245:AE246"/>
    <mergeCell ref="AF245:AF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D247:AD248"/>
    <mergeCell ref="M253:M254"/>
    <mergeCell ref="N253:N254"/>
    <mergeCell ref="Q253:Q254"/>
    <mergeCell ref="R253:R254"/>
    <mergeCell ref="S253:S254"/>
    <mergeCell ref="T253:T254"/>
    <mergeCell ref="P253:P254"/>
    <mergeCell ref="W253:W254"/>
    <mergeCell ref="X253:X254"/>
    <mergeCell ref="Y253:Y254"/>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E249:E250"/>
    <mergeCell ref="H204:H205"/>
    <mergeCell ref="E206:E207"/>
    <mergeCell ref="F206:F207"/>
    <mergeCell ref="G206:G207"/>
    <mergeCell ref="H206:H207"/>
    <mergeCell ref="E208:E209"/>
    <mergeCell ref="F208:F209"/>
    <mergeCell ref="G208:G209"/>
    <mergeCell ref="H208:H209"/>
    <mergeCell ref="E210:E211"/>
    <mergeCell ref="F210:F211"/>
    <mergeCell ref="E253:E254"/>
    <mergeCell ref="F253:F254"/>
    <mergeCell ref="G253:G254"/>
    <mergeCell ref="H253:H254"/>
    <mergeCell ref="K253:K254"/>
    <mergeCell ref="L253:L254"/>
    <mergeCell ref="J253:J254"/>
    <mergeCell ref="F249:F250"/>
    <mergeCell ref="G249:G250"/>
    <mergeCell ref="H249:H250"/>
    <mergeCell ref="K249:K250"/>
    <mergeCell ref="L249:L250"/>
    <mergeCell ref="E243:E244"/>
    <mergeCell ref="F243:F244"/>
    <mergeCell ref="G243:G244"/>
    <mergeCell ref="H243:H244"/>
    <mergeCell ref="K243:K244"/>
    <mergeCell ref="L243:L244"/>
    <mergeCell ref="E239:E240"/>
    <mergeCell ref="F239:F240"/>
    <mergeCell ref="G239:G240"/>
    <mergeCell ref="T204:T205"/>
    <mergeCell ref="Q206:Q207"/>
    <mergeCell ref="R206:R207"/>
    <mergeCell ref="S206:S207"/>
    <mergeCell ref="T206:T207"/>
    <mergeCell ref="Q208:Q209"/>
    <mergeCell ref="R208:R209"/>
    <mergeCell ref="S208:S209"/>
    <mergeCell ref="T208:T209"/>
    <mergeCell ref="Q210:Q211"/>
    <mergeCell ref="R210:R211"/>
    <mergeCell ref="Z253:Z254"/>
    <mergeCell ref="AC253:AC254"/>
    <mergeCell ref="AD253:AD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Z204:Z205"/>
    <mergeCell ref="W206:W207"/>
    <mergeCell ref="X206:X207"/>
    <mergeCell ref="Y206:Y207"/>
    <mergeCell ref="Z206:Z207"/>
    <mergeCell ref="W208:W209"/>
    <mergeCell ref="X208:X209"/>
    <mergeCell ref="Y208:Y209"/>
    <mergeCell ref="Z208:Z209"/>
    <mergeCell ref="W210:W211"/>
    <mergeCell ref="X210:X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Q213:Q214"/>
    <mergeCell ref="R213:R214"/>
    <mergeCell ref="Q217:Q218"/>
    <mergeCell ref="R217:R218"/>
    <mergeCell ref="K213:K214"/>
    <mergeCell ref="L213:L214"/>
    <mergeCell ref="S213:S214"/>
    <mergeCell ref="T213:T214"/>
    <mergeCell ref="Q215:Q216"/>
    <mergeCell ref="R215:R216"/>
    <mergeCell ref="S215:S216"/>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H213:H214"/>
    <mergeCell ref="E215:E216"/>
    <mergeCell ref="F215:F216"/>
    <mergeCell ref="G215:G216"/>
    <mergeCell ref="H215:H216"/>
    <mergeCell ref="E217:E218"/>
    <mergeCell ref="F217:F218"/>
    <mergeCell ref="G217:G218"/>
    <mergeCell ref="H217:H218"/>
    <mergeCell ref="M213:M214"/>
    <mergeCell ref="N213:N214"/>
    <mergeCell ref="K215:K216"/>
    <mergeCell ref="L215:L216"/>
    <mergeCell ref="M215:M216"/>
    <mergeCell ref="N215:N216"/>
    <mergeCell ref="K217:K218"/>
    <mergeCell ref="L217:L218"/>
    <mergeCell ref="M217:M218"/>
    <mergeCell ref="N217:N218"/>
    <mergeCell ref="J217:J218"/>
    <mergeCell ref="X217:X218"/>
    <mergeCell ref="Y217:Y218"/>
    <mergeCell ref="Z217:Z218"/>
    <mergeCell ref="AC213:AC214"/>
    <mergeCell ref="AD213:AD214"/>
    <mergeCell ref="AC217:AC218"/>
    <mergeCell ref="AD217:AD218"/>
    <mergeCell ref="AE217:AE218"/>
    <mergeCell ref="AF217:AF218"/>
    <mergeCell ref="AE213:AE214"/>
    <mergeCell ref="AF213:AF214"/>
    <mergeCell ref="AC215:AC216"/>
    <mergeCell ref="AD215:AD216"/>
    <mergeCell ref="AE215:AE216"/>
    <mergeCell ref="AF215:AF216"/>
    <mergeCell ref="AE210:AE211"/>
    <mergeCell ref="AF210:AF211"/>
  </mergeCells>
  <pageMargins left="0.42" right="0.5" top="0.43" bottom="0.48" header="0.3" footer="0.3"/>
  <pageSetup paperSize="9" scale="86"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4BCC-DEB1-4908-8F5E-EAAC951D655F}">
  <dimension ref="A1:AH259"/>
  <sheetViews>
    <sheetView zoomScaleNormal="100" workbookViewId="0">
      <pane ySplit="12" topLeftCell="A226" activePane="bottomLeft" state="frozen"/>
      <selection activeCell="B67" sqref="B67:C68"/>
      <selection pane="bottomLeft" activeCell="AC235" sqref="AC235:AF235"/>
    </sheetView>
  </sheetViews>
  <sheetFormatPr defaultColWidth="9.109375" defaultRowHeight="10.199999999999999" x14ac:dyDescent="0.2"/>
  <cols>
    <col min="1" max="1" width="1.5546875" style="11" customWidth="1"/>
    <col min="2" max="2" width="21.88671875" style="11" customWidth="1"/>
    <col min="3" max="3" width="4.6640625" style="31" customWidth="1"/>
    <col min="4" max="4" width="2.33203125" style="11" customWidth="1"/>
    <col min="5" max="34" width="4.77734375" style="11" customWidth="1"/>
    <col min="35" max="16384" width="9.109375" style="11"/>
  </cols>
  <sheetData>
    <row r="1" spans="1:34" x14ac:dyDescent="0.2">
      <c r="A1" s="165"/>
      <c r="B1" s="165"/>
      <c r="C1" s="166"/>
      <c r="D1" s="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x14ac:dyDescent="0.2">
      <c r="A2" s="485" t="s">
        <v>51</v>
      </c>
      <c r="B2" s="485"/>
      <c r="C2" s="485"/>
      <c r="D2" s="269"/>
      <c r="E2" s="269"/>
      <c r="F2" s="269"/>
      <c r="G2" s="269"/>
      <c r="H2" s="269"/>
      <c r="I2" s="269"/>
      <c r="J2" s="269"/>
      <c r="K2" s="269"/>
      <c r="L2" s="269"/>
      <c r="M2" s="2"/>
      <c r="N2" s="170"/>
      <c r="O2" s="171"/>
      <c r="P2" s="2"/>
      <c r="Q2" s="2"/>
      <c r="R2" s="2"/>
      <c r="S2" s="2"/>
      <c r="T2" s="2"/>
      <c r="U2" s="2"/>
      <c r="V2" s="2"/>
      <c r="W2" s="2"/>
      <c r="X2" s="2"/>
      <c r="Y2" s="2"/>
      <c r="Z2" s="2"/>
      <c r="AA2" s="2"/>
      <c r="AB2" s="2"/>
      <c r="AC2" s="2"/>
      <c r="AD2" s="2"/>
      <c r="AE2" s="2"/>
      <c r="AF2" s="2"/>
      <c r="AG2" s="2"/>
      <c r="AH2" s="2"/>
    </row>
    <row r="3" spans="1:34" x14ac:dyDescent="0.2">
      <c r="A3" s="485" t="s">
        <v>50</v>
      </c>
      <c r="B3" s="485"/>
      <c r="C3" s="485"/>
      <c r="D3" s="269"/>
      <c r="E3" s="269"/>
      <c r="F3" s="269"/>
      <c r="G3" s="269"/>
      <c r="H3" s="269"/>
      <c r="I3" s="269"/>
      <c r="J3" s="269"/>
      <c r="K3" s="2"/>
      <c r="L3" s="2"/>
      <c r="M3" s="2"/>
      <c r="N3" s="482"/>
      <c r="O3" s="483"/>
      <c r="P3" s="2"/>
      <c r="Q3" s="2"/>
      <c r="R3" s="2"/>
      <c r="S3" s="2"/>
      <c r="T3" s="2"/>
      <c r="U3" s="2"/>
      <c r="V3" s="2"/>
      <c r="W3" s="2"/>
      <c r="X3" s="2"/>
      <c r="Y3" s="2"/>
      <c r="Z3" s="2"/>
      <c r="AA3" s="2"/>
      <c r="AB3" s="2"/>
      <c r="AC3" s="2"/>
      <c r="AD3" s="2"/>
      <c r="AE3" s="2"/>
      <c r="AF3" s="2"/>
      <c r="AG3" s="2"/>
      <c r="AH3" s="2"/>
    </row>
    <row r="4" spans="1:34" x14ac:dyDescent="0.2">
      <c r="A4" s="485" t="s">
        <v>75</v>
      </c>
      <c r="B4" s="485"/>
      <c r="C4" s="485"/>
      <c r="D4" s="12"/>
      <c r="E4" s="2"/>
      <c r="F4" s="2"/>
      <c r="G4" s="2"/>
      <c r="H4" s="2"/>
      <c r="I4" s="2"/>
      <c r="J4" s="169"/>
      <c r="K4" s="2"/>
      <c r="L4" s="2"/>
      <c r="M4" s="2"/>
      <c r="N4" s="482"/>
      <c r="O4" s="483"/>
      <c r="P4" s="2"/>
      <c r="Q4" s="2"/>
      <c r="R4" s="2"/>
      <c r="S4" s="2"/>
      <c r="T4" s="2"/>
      <c r="U4" s="2"/>
      <c r="V4" s="2"/>
      <c r="W4" s="2"/>
      <c r="X4" s="2"/>
      <c r="Y4" s="2"/>
      <c r="Z4" s="2"/>
      <c r="AA4" s="2"/>
      <c r="AB4" s="2"/>
      <c r="AC4" s="2"/>
      <c r="AD4" s="2"/>
      <c r="AE4" s="2"/>
      <c r="AF4" s="2"/>
      <c r="AG4" s="2"/>
      <c r="AH4" s="2"/>
    </row>
    <row r="5" spans="1:34" x14ac:dyDescent="0.2">
      <c r="A5" s="486" t="s">
        <v>148</v>
      </c>
      <c r="B5" s="269"/>
      <c r="C5" s="172"/>
      <c r="D5" s="14"/>
      <c r="E5" s="2"/>
      <c r="F5" s="2"/>
      <c r="G5" s="2"/>
      <c r="H5" s="2"/>
      <c r="I5" s="2"/>
      <c r="J5" s="169"/>
      <c r="K5" s="2"/>
      <c r="L5" s="2"/>
      <c r="M5" s="2"/>
      <c r="N5" s="482"/>
      <c r="O5" s="483"/>
      <c r="P5" s="2"/>
      <c r="Q5" s="2"/>
      <c r="R5" s="4"/>
      <c r="S5" s="2"/>
      <c r="T5" s="2"/>
      <c r="U5" s="2"/>
      <c r="V5" s="2"/>
      <c r="W5" s="2"/>
      <c r="X5" s="2"/>
      <c r="Y5" s="484"/>
      <c r="Z5" s="2"/>
      <c r="AA5" s="2"/>
      <c r="AB5" s="2"/>
      <c r="AC5" s="2" t="s">
        <v>74</v>
      </c>
      <c r="AD5" s="2"/>
      <c r="AE5" s="2"/>
      <c r="AF5" s="2"/>
      <c r="AG5" s="2"/>
      <c r="AH5" s="2"/>
    </row>
    <row r="6" spans="1:34" x14ac:dyDescent="0.2">
      <c r="A6" s="486" t="s">
        <v>154</v>
      </c>
      <c r="B6" s="269"/>
      <c r="C6" s="166"/>
      <c r="D6" s="9"/>
      <c r="E6" s="2"/>
      <c r="F6" s="2"/>
      <c r="G6" s="2"/>
      <c r="H6" s="2"/>
      <c r="I6" s="5"/>
      <c r="J6" s="169"/>
      <c r="K6" s="2"/>
      <c r="L6" s="2"/>
      <c r="M6" s="2"/>
      <c r="N6" s="223"/>
      <c r="O6" s="224"/>
      <c r="P6" s="2"/>
      <c r="Q6" s="2"/>
      <c r="R6" s="2"/>
      <c r="S6" s="2"/>
      <c r="T6" s="2"/>
      <c r="U6" s="5"/>
      <c r="V6" s="5"/>
      <c r="W6" s="2"/>
      <c r="X6" s="2"/>
      <c r="Y6" s="484"/>
      <c r="Z6" s="2"/>
      <c r="AA6" s="5"/>
      <c r="AB6" s="5"/>
      <c r="AC6" s="2"/>
      <c r="AD6" s="2"/>
      <c r="AE6" s="2"/>
      <c r="AF6" s="2"/>
      <c r="AG6" s="5"/>
      <c r="AH6" s="5"/>
    </row>
    <row r="7" spans="1:34" x14ac:dyDescent="0.2">
      <c r="A7" s="481"/>
      <c r="B7" s="481"/>
      <c r="C7" s="481"/>
      <c r="I7" s="2"/>
      <c r="J7" s="2"/>
      <c r="N7" s="223"/>
      <c r="O7" s="224"/>
      <c r="P7" s="2"/>
      <c r="U7" s="2"/>
      <c r="V7" s="2"/>
      <c r="AA7" s="2"/>
      <c r="AB7" s="2"/>
      <c r="AG7" s="2"/>
      <c r="AH7" s="2"/>
    </row>
    <row r="8" spans="1:34" x14ac:dyDescent="0.2">
      <c r="A8" s="481" t="s">
        <v>169</v>
      </c>
      <c r="B8" s="481"/>
      <c r="C8" s="481"/>
      <c r="D8" s="269"/>
      <c r="E8" s="269"/>
      <c r="F8" s="269"/>
      <c r="G8" s="269"/>
      <c r="H8" s="269"/>
      <c r="I8" s="269"/>
      <c r="J8" s="269"/>
      <c r="K8" s="269"/>
      <c r="L8" s="269"/>
      <c r="M8" s="269"/>
      <c r="N8" s="269"/>
      <c r="O8" s="269"/>
      <c r="P8" s="269"/>
      <c r="Q8" s="269"/>
      <c r="R8" s="269"/>
      <c r="S8" s="326"/>
      <c r="T8" s="326"/>
      <c r="U8" s="326"/>
      <c r="V8" s="326"/>
      <c r="AA8" s="2"/>
      <c r="AB8" s="2"/>
      <c r="AG8" s="2"/>
      <c r="AH8" s="2"/>
    </row>
    <row r="9" spans="1:34" x14ac:dyDescent="0.2">
      <c r="A9" s="165"/>
      <c r="B9" s="165"/>
      <c r="C9" s="166"/>
      <c r="D9" s="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spans="1:34" ht="20.399999999999999" x14ac:dyDescent="0.2">
      <c r="A10" s="225"/>
      <c r="B10" s="545" t="s">
        <v>38</v>
      </c>
      <c r="C10" s="533"/>
      <c r="D10" s="18" t="s">
        <v>117</v>
      </c>
      <c r="E10" s="470">
        <v>2026</v>
      </c>
      <c r="F10" s="470"/>
      <c r="G10" s="470"/>
      <c r="H10" s="470"/>
      <c r="I10" s="460"/>
      <c r="J10" s="179"/>
      <c r="K10" s="470">
        <v>2027</v>
      </c>
      <c r="L10" s="470"/>
      <c r="M10" s="470"/>
      <c r="N10" s="470"/>
      <c r="O10" s="460"/>
      <c r="P10" s="251"/>
      <c r="Q10" s="470">
        <v>2028</v>
      </c>
      <c r="R10" s="470"/>
      <c r="S10" s="470"/>
      <c r="T10" s="470"/>
      <c r="U10" s="460"/>
      <c r="V10" s="251"/>
      <c r="W10" s="470">
        <v>2029</v>
      </c>
      <c r="X10" s="470"/>
      <c r="Y10" s="470"/>
      <c r="Z10" s="470"/>
      <c r="AA10" s="460"/>
      <c r="AB10" s="179"/>
      <c r="AC10" s="470">
        <v>2030</v>
      </c>
      <c r="AD10" s="470"/>
      <c r="AE10" s="470"/>
      <c r="AF10" s="470"/>
      <c r="AG10" s="460"/>
      <c r="AH10" s="179"/>
    </row>
    <row r="11" spans="1:34" x14ac:dyDescent="0.2">
      <c r="A11" s="225"/>
      <c r="B11" s="545"/>
      <c r="C11" s="533"/>
      <c r="D11" s="20"/>
      <c r="E11" s="470" t="s">
        <v>93</v>
      </c>
      <c r="F11" s="470"/>
      <c r="G11" s="460"/>
      <c r="H11" s="460"/>
      <c r="I11" s="460"/>
      <c r="J11" s="251"/>
      <c r="K11" s="470" t="s">
        <v>93</v>
      </c>
      <c r="L11" s="470"/>
      <c r="M11" s="460"/>
      <c r="N11" s="460"/>
      <c r="O11" s="460"/>
      <c r="P11" s="179"/>
      <c r="Q11" s="470" t="s">
        <v>93</v>
      </c>
      <c r="R11" s="470"/>
      <c r="S11" s="460"/>
      <c r="T11" s="460"/>
      <c r="U11" s="460"/>
      <c r="V11" s="179"/>
      <c r="W11" s="470" t="s">
        <v>93</v>
      </c>
      <c r="X11" s="470"/>
      <c r="Y11" s="460"/>
      <c r="Z11" s="460"/>
      <c r="AA11" s="460"/>
      <c r="AB11" s="179"/>
      <c r="AC11" s="470" t="s">
        <v>93</v>
      </c>
      <c r="AD11" s="470"/>
      <c r="AE11" s="460"/>
      <c r="AF11" s="460"/>
      <c r="AG11" s="460"/>
      <c r="AH11" s="179"/>
    </row>
    <row r="12" spans="1:34" x14ac:dyDescent="0.2">
      <c r="A12" s="225"/>
      <c r="B12" s="545"/>
      <c r="C12" s="533"/>
      <c r="D12" s="20"/>
      <c r="E12" s="176" t="s">
        <v>1</v>
      </c>
      <c r="F12" s="176" t="s">
        <v>2</v>
      </c>
      <c r="G12" s="176" t="s">
        <v>3</v>
      </c>
      <c r="H12" s="176" t="s">
        <v>4</v>
      </c>
      <c r="I12" s="180" t="s">
        <v>5</v>
      </c>
      <c r="J12" s="180" t="s">
        <v>112</v>
      </c>
      <c r="K12" s="176" t="s">
        <v>1</v>
      </c>
      <c r="L12" s="176" t="s">
        <v>2</v>
      </c>
      <c r="M12" s="176" t="s">
        <v>3</v>
      </c>
      <c r="N12" s="176" t="s">
        <v>4</v>
      </c>
      <c r="O12" s="180" t="s">
        <v>5</v>
      </c>
      <c r="P12" s="180" t="s">
        <v>119</v>
      </c>
      <c r="Q12" s="176" t="s">
        <v>1</v>
      </c>
      <c r="R12" s="176" t="s">
        <v>2</v>
      </c>
      <c r="S12" s="176" t="s">
        <v>3</v>
      </c>
      <c r="T12" s="176" t="s">
        <v>4</v>
      </c>
      <c r="U12" s="180" t="s">
        <v>5</v>
      </c>
      <c r="V12" s="180" t="s">
        <v>121</v>
      </c>
      <c r="W12" s="176" t="s">
        <v>1</v>
      </c>
      <c r="X12" s="176" t="s">
        <v>2</v>
      </c>
      <c r="Y12" s="176" t="s">
        <v>3</v>
      </c>
      <c r="Z12" s="176" t="s">
        <v>4</v>
      </c>
      <c r="AA12" s="180" t="s">
        <v>5</v>
      </c>
      <c r="AB12" s="180" t="s">
        <v>122</v>
      </c>
      <c r="AC12" s="176" t="s">
        <v>1</v>
      </c>
      <c r="AD12" s="176" t="s">
        <v>2</v>
      </c>
      <c r="AE12" s="176" t="s">
        <v>3</v>
      </c>
      <c r="AF12" s="176" t="s">
        <v>4</v>
      </c>
      <c r="AG12" s="180" t="s">
        <v>5</v>
      </c>
      <c r="AH12" s="180" t="s">
        <v>123</v>
      </c>
    </row>
    <row r="13" spans="1:34" x14ac:dyDescent="0.2">
      <c r="A13" s="227">
        <v>0</v>
      </c>
      <c r="B13" s="227">
        <v>1</v>
      </c>
      <c r="C13" s="226">
        <v>2</v>
      </c>
      <c r="D13" s="22">
        <v>3</v>
      </c>
      <c r="E13" s="178" t="s">
        <v>113</v>
      </c>
      <c r="F13" s="178" t="s">
        <v>114</v>
      </c>
      <c r="G13" s="178" t="s">
        <v>115</v>
      </c>
      <c r="H13" s="178" t="s">
        <v>116</v>
      </c>
      <c r="I13" s="178"/>
      <c r="J13" s="178"/>
      <c r="K13" s="178" t="s">
        <v>113</v>
      </c>
      <c r="L13" s="178" t="s">
        <v>114</v>
      </c>
      <c r="M13" s="178" t="s">
        <v>115</v>
      </c>
      <c r="N13" s="178" t="s">
        <v>116</v>
      </c>
      <c r="O13" s="178"/>
      <c r="P13" s="178"/>
      <c r="Q13" s="178" t="s">
        <v>113</v>
      </c>
      <c r="R13" s="178" t="s">
        <v>114</v>
      </c>
      <c r="S13" s="178" t="s">
        <v>115</v>
      </c>
      <c r="T13" s="178" t="s">
        <v>116</v>
      </c>
      <c r="U13" s="178"/>
      <c r="V13" s="178"/>
      <c r="W13" s="178" t="s">
        <v>113</v>
      </c>
      <c r="X13" s="178" t="s">
        <v>114</v>
      </c>
      <c r="Y13" s="178" t="s">
        <v>115</v>
      </c>
      <c r="Z13" s="178" t="s">
        <v>116</v>
      </c>
      <c r="AA13" s="178"/>
      <c r="AB13" s="178"/>
      <c r="AC13" s="178" t="s">
        <v>113</v>
      </c>
      <c r="AD13" s="178" t="s">
        <v>114</v>
      </c>
      <c r="AE13" s="178" t="s">
        <v>115</v>
      </c>
      <c r="AF13" s="178" t="s">
        <v>116</v>
      </c>
      <c r="AG13" s="178"/>
      <c r="AH13" s="178"/>
    </row>
    <row r="14" spans="1:34" ht="10.8" thickBot="1" x14ac:dyDescent="0.25">
      <c r="A14" s="225">
        <v>1.1000000000000001</v>
      </c>
      <c r="B14" s="184" t="s">
        <v>105</v>
      </c>
      <c r="C14" s="228"/>
      <c r="D14" s="20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row>
    <row r="15" spans="1:34" ht="15.75" customHeight="1" thickBot="1" x14ac:dyDescent="0.25">
      <c r="A15" s="529"/>
      <c r="B15" s="526" t="s">
        <v>92</v>
      </c>
      <c r="C15" s="52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529"/>
      <c r="B16" s="526"/>
      <c r="C16" s="52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529"/>
      <c r="B17" s="526"/>
      <c r="C17" s="52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529"/>
      <c r="B18" s="526"/>
      <c r="C18" s="52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529"/>
      <c r="B19" s="526"/>
      <c r="C19" s="52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529"/>
      <c r="B20" s="526"/>
      <c r="C20" s="52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529"/>
      <c r="B21" s="526" t="s">
        <v>80</v>
      </c>
      <c r="C21" s="52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529"/>
      <c r="B22" s="526"/>
      <c r="C22" s="52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529"/>
      <c r="B23" s="526"/>
      <c r="C23" s="52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529"/>
      <c r="B24" s="526"/>
      <c r="C24" s="52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529"/>
      <c r="B25" s="526"/>
      <c r="C25" s="52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529"/>
      <c r="B26" s="526"/>
      <c r="C26" s="52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529"/>
      <c r="B27" s="526" t="s">
        <v>81</v>
      </c>
      <c r="C27" s="52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529"/>
      <c r="B28" s="526"/>
      <c r="C28" s="52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529"/>
      <c r="B29" s="526"/>
      <c r="C29" s="52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529"/>
      <c r="B30" s="526"/>
      <c r="C30" s="52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529"/>
      <c r="B31" s="526"/>
      <c r="C31" s="52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529"/>
      <c r="B32" s="526"/>
      <c r="C32" s="52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529"/>
      <c r="B33" s="535" t="s">
        <v>79</v>
      </c>
      <c r="C33" s="52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529"/>
      <c r="B34" s="535"/>
      <c r="C34" s="52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529"/>
      <c r="B35" s="535"/>
      <c r="C35" s="52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529"/>
      <c r="B36" s="535"/>
      <c r="C36" s="52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529"/>
      <c r="B37" s="535"/>
      <c r="C37" s="52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529"/>
      <c r="B38" s="535"/>
      <c r="C38" s="52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225">
        <v>1.2</v>
      </c>
      <c r="B39" s="540" t="s">
        <v>12</v>
      </c>
      <c r="C39" s="540"/>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row>
    <row r="40" spans="1:34" x14ac:dyDescent="0.2">
      <c r="A40" s="529"/>
      <c r="B40" s="526" t="s">
        <v>39</v>
      </c>
      <c r="C40" s="526"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529"/>
      <c r="B41" s="526"/>
      <c r="C41" s="526"/>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529"/>
      <c r="B42" s="526"/>
      <c r="C42" s="526"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529"/>
      <c r="B43" s="526"/>
      <c r="C43" s="526"/>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529"/>
      <c r="B44" s="526"/>
      <c r="C44" s="526"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529"/>
      <c r="B45" s="526"/>
      <c r="C45" s="526"/>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529"/>
      <c r="B46" s="526" t="s">
        <v>0</v>
      </c>
      <c r="C46" s="526"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529"/>
      <c r="B47" s="526"/>
      <c r="C47" s="526"/>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529"/>
      <c r="B48" s="526"/>
      <c r="C48" s="526"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529"/>
      <c r="B49" s="526"/>
      <c r="C49" s="526"/>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529"/>
      <c r="B50" s="526"/>
      <c r="C50" s="526"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529"/>
      <c r="B51" s="526"/>
      <c r="C51" s="526"/>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529"/>
      <c r="B52" s="526" t="s">
        <v>40</v>
      </c>
      <c r="C52" s="526"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529"/>
      <c r="B53" s="526"/>
      <c r="C53" s="526"/>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529"/>
      <c r="B54" s="526"/>
      <c r="C54" s="526"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529"/>
      <c r="B55" s="526"/>
      <c r="C55" s="526"/>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529"/>
      <c r="B56" s="526"/>
      <c r="C56" s="526"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529"/>
      <c r="B57" s="526"/>
      <c r="C57" s="526"/>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225">
        <v>1.3</v>
      </c>
      <c r="B58" s="540" t="s">
        <v>13</v>
      </c>
      <c r="C58" s="540"/>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row>
    <row r="59" spans="1:34" x14ac:dyDescent="0.2">
      <c r="A59" s="529"/>
      <c r="B59" s="526" t="s">
        <v>77</v>
      </c>
      <c r="C59" s="526"/>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529"/>
      <c r="B60" s="526"/>
      <c r="C60" s="526"/>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529"/>
      <c r="B61" s="526" t="s">
        <v>118</v>
      </c>
      <c r="C61" s="526"/>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529"/>
      <c r="B62" s="526"/>
      <c r="C62" s="526"/>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529"/>
      <c r="B63" s="526" t="s">
        <v>120</v>
      </c>
      <c r="C63" s="526"/>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52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529"/>
      <c r="B65" s="526" t="s">
        <v>14</v>
      </c>
      <c r="C65" s="526"/>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529"/>
      <c r="B66" s="526"/>
      <c r="C66" s="526"/>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529"/>
      <c r="B67" s="536" t="s">
        <v>111</v>
      </c>
      <c r="C67" s="536"/>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529"/>
      <c r="B68" s="536"/>
      <c r="C68" s="536"/>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529"/>
      <c r="B69" s="526" t="s">
        <v>15</v>
      </c>
      <c r="C69" s="526"/>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529"/>
      <c r="B70" s="526"/>
      <c r="C70" s="526"/>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8" customHeight="1" x14ac:dyDescent="0.2">
      <c r="A71" s="265"/>
      <c r="B71" s="489" t="s">
        <v>124</v>
      </c>
      <c r="C71" s="489"/>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ht="40.200000000000003" customHeight="1" x14ac:dyDescent="0.2">
      <c r="A72" s="265"/>
      <c r="B72" s="489"/>
      <c r="C72" s="489"/>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225">
        <v>1.4</v>
      </c>
      <c r="B73" s="540" t="s">
        <v>16</v>
      </c>
      <c r="C73" s="540"/>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row>
    <row r="74" spans="1:34" x14ac:dyDescent="0.2">
      <c r="A74" s="529"/>
      <c r="B74" s="526" t="s">
        <v>17</v>
      </c>
      <c r="C74" s="526"/>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529"/>
      <c r="B75" s="526"/>
      <c r="C75" s="526"/>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529"/>
      <c r="B76" s="539" t="s">
        <v>82</v>
      </c>
      <c r="C76" s="539"/>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529"/>
      <c r="B77" s="539" t="s">
        <v>83</v>
      </c>
      <c r="C77" s="539"/>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529"/>
      <c r="B78" s="526" t="s">
        <v>18</v>
      </c>
      <c r="C78" s="526"/>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529"/>
      <c r="B79" s="526"/>
      <c r="C79" s="526"/>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225">
        <v>1.5</v>
      </c>
      <c r="B80" s="540" t="s">
        <v>19</v>
      </c>
      <c r="C80" s="540"/>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row>
    <row r="81" spans="1:34" x14ac:dyDescent="0.2">
      <c r="A81" s="232" t="s">
        <v>41</v>
      </c>
      <c r="B81" s="540" t="s">
        <v>20</v>
      </c>
      <c r="C81" s="540"/>
      <c r="D81" s="204"/>
      <c r="E81" s="184"/>
      <c r="F81" s="184"/>
      <c r="G81" s="184"/>
      <c r="H81" s="184"/>
      <c r="I81" s="202"/>
      <c r="J81" s="202"/>
      <c r="K81" s="184"/>
      <c r="L81" s="184"/>
      <c r="M81" s="184"/>
      <c r="N81" s="184"/>
      <c r="O81" s="202"/>
      <c r="P81" s="202"/>
      <c r="Q81" s="184"/>
      <c r="R81" s="184"/>
      <c r="S81" s="184"/>
      <c r="T81" s="184"/>
      <c r="U81" s="202"/>
      <c r="V81" s="202"/>
      <c r="W81" s="184"/>
      <c r="X81" s="184"/>
      <c r="Y81" s="184"/>
      <c r="Z81" s="184"/>
      <c r="AA81" s="202"/>
      <c r="AB81" s="202"/>
      <c r="AC81" s="184"/>
      <c r="AD81" s="184"/>
      <c r="AE81" s="184"/>
      <c r="AF81" s="184"/>
      <c r="AG81" s="202"/>
      <c r="AH81" s="202"/>
    </row>
    <row r="82" spans="1:34" ht="27.75" customHeight="1" x14ac:dyDescent="0.2">
      <c r="A82" s="529"/>
      <c r="B82" s="230" t="s">
        <v>95</v>
      </c>
      <c r="C82" s="34"/>
      <c r="D82" s="24" t="s">
        <v>135</v>
      </c>
      <c r="E82" s="190">
        <v>2</v>
      </c>
      <c r="F82" s="190">
        <v>2</v>
      </c>
      <c r="G82" s="190">
        <v>2</v>
      </c>
      <c r="H82" s="190">
        <v>2</v>
      </c>
      <c r="I82" s="190"/>
      <c r="J82" s="190">
        <v>8</v>
      </c>
      <c r="K82" s="190">
        <v>8</v>
      </c>
      <c r="L82" s="190">
        <v>8</v>
      </c>
      <c r="M82" s="190">
        <v>8</v>
      </c>
      <c r="N82" s="190">
        <v>8</v>
      </c>
      <c r="O82" s="206"/>
      <c r="P82" s="190">
        <v>8</v>
      </c>
      <c r="Q82" s="206">
        <v>2</v>
      </c>
      <c r="R82" s="206">
        <v>2</v>
      </c>
      <c r="S82" s="206">
        <v>2</v>
      </c>
      <c r="T82" s="206">
        <v>2</v>
      </c>
      <c r="U82" s="190"/>
      <c r="V82" s="190">
        <v>8</v>
      </c>
      <c r="W82" s="206">
        <v>2</v>
      </c>
      <c r="X82" s="206">
        <v>2</v>
      </c>
      <c r="Y82" s="206">
        <v>2</v>
      </c>
      <c r="Z82" s="206">
        <v>2</v>
      </c>
      <c r="AA82" s="206"/>
      <c r="AB82" s="190">
        <v>8</v>
      </c>
      <c r="AC82" s="206">
        <v>2</v>
      </c>
      <c r="AD82" s="206">
        <v>2</v>
      </c>
      <c r="AE82" s="206">
        <v>2</v>
      </c>
      <c r="AF82" s="206">
        <v>2</v>
      </c>
      <c r="AG82" s="190"/>
      <c r="AH82" s="190">
        <v>8</v>
      </c>
    </row>
    <row r="83" spans="1:34" ht="15.75" customHeight="1" x14ac:dyDescent="0.2">
      <c r="A83" s="529"/>
      <c r="B83" s="526" t="s">
        <v>84</v>
      </c>
      <c r="C83" s="544"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529"/>
      <c r="B84" s="526"/>
      <c r="C84" s="544"/>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529"/>
      <c r="B85" s="526"/>
      <c r="C85" s="544"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529"/>
      <c r="B86" s="526"/>
      <c r="C86" s="544"/>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529"/>
      <c r="B87" s="526"/>
      <c r="C87" s="544"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529"/>
      <c r="B88" s="526"/>
      <c r="C88" s="544"/>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529"/>
      <c r="B89" s="526" t="s">
        <v>96</v>
      </c>
      <c r="C89" s="544"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529"/>
      <c r="B90" s="479"/>
      <c r="C90" s="287"/>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529"/>
      <c r="B91" s="479"/>
      <c r="C91" s="528"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529"/>
      <c r="B92" s="479"/>
      <c r="C92" s="287"/>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529"/>
      <c r="B93" s="479"/>
      <c r="C93" s="528"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529"/>
      <c r="B94" s="479"/>
      <c r="C94" s="287"/>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529"/>
      <c r="B95" s="526" t="s">
        <v>97</v>
      </c>
      <c r="C95" s="265"/>
      <c r="D95" s="24" t="s">
        <v>135</v>
      </c>
      <c r="E95" s="206">
        <v>3</v>
      </c>
      <c r="F95" s="206">
        <v>3</v>
      </c>
      <c r="G95" s="206">
        <v>3</v>
      </c>
      <c r="H95" s="206">
        <v>3</v>
      </c>
      <c r="I95" s="190"/>
      <c r="J95" s="190">
        <v>12</v>
      </c>
      <c r="K95" s="190">
        <v>3</v>
      </c>
      <c r="L95" s="190">
        <v>3</v>
      </c>
      <c r="M95" s="190">
        <v>3</v>
      </c>
      <c r="N95" s="190">
        <v>3</v>
      </c>
      <c r="O95" s="190"/>
      <c r="P95" s="190">
        <v>12</v>
      </c>
      <c r="Q95" s="206">
        <v>3</v>
      </c>
      <c r="R95" s="206">
        <v>3</v>
      </c>
      <c r="S95" s="206">
        <v>3</v>
      </c>
      <c r="T95" s="206">
        <v>3</v>
      </c>
      <c r="U95" s="190"/>
      <c r="V95" s="190">
        <v>12</v>
      </c>
      <c r="W95" s="206">
        <v>3</v>
      </c>
      <c r="X95" s="206">
        <v>3</v>
      </c>
      <c r="Y95" s="206">
        <v>3</v>
      </c>
      <c r="Z95" s="206">
        <v>3</v>
      </c>
      <c r="AA95" s="206"/>
      <c r="AB95" s="190">
        <v>12</v>
      </c>
      <c r="AC95" s="206">
        <v>3</v>
      </c>
      <c r="AD95" s="206">
        <v>3</v>
      </c>
      <c r="AE95" s="206">
        <v>3</v>
      </c>
      <c r="AF95" s="206">
        <v>3</v>
      </c>
      <c r="AG95" s="190"/>
      <c r="AH95" s="190">
        <v>12</v>
      </c>
    </row>
    <row r="96" spans="1:34" ht="15.75" customHeight="1" x14ac:dyDescent="0.2">
      <c r="A96" s="529"/>
      <c r="B96" s="526" t="s">
        <v>85</v>
      </c>
      <c r="C96" s="544"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529"/>
      <c r="B97" s="526"/>
      <c r="C97" s="544"/>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529"/>
      <c r="B98" s="526"/>
      <c r="C98" s="544"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529"/>
      <c r="B99" s="526"/>
      <c r="C99" s="544"/>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529"/>
      <c r="B100" s="526"/>
      <c r="C100" s="544"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529"/>
      <c r="B101" s="526"/>
      <c r="C101" s="544"/>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529"/>
      <c r="B102" s="526" t="s">
        <v>98</v>
      </c>
      <c r="C102" s="544"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529"/>
      <c r="B103" s="265"/>
      <c r="C103" s="287"/>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529"/>
      <c r="B104" s="265"/>
      <c r="C104" s="528"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529"/>
      <c r="B105" s="265"/>
      <c r="C105" s="287"/>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529"/>
      <c r="B106" s="265"/>
      <c r="C106" s="528"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529"/>
      <c r="B107" s="265"/>
      <c r="C107" s="287"/>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225" t="s">
        <v>21</v>
      </c>
      <c r="B108" s="540" t="s">
        <v>22</v>
      </c>
      <c r="C108" s="5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30"/>
      <c r="B109" s="539" t="s">
        <v>23</v>
      </c>
      <c r="C109" s="539"/>
      <c r="D109" s="24" t="s">
        <v>135</v>
      </c>
      <c r="E109" s="181">
        <v>2</v>
      </c>
      <c r="F109" s="181">
        <v>2</v>
      </c>
      <c r="G109" s="181">
        <v>2</v>
      </c>
      <c r="H109" s="181">
        <v>4</v>
      </c>
      <c r="I109" s="188"/>
      <c r="J109" s="192">
        <v>10</v>
      </c>
      <c r="K109" s="181">
        <v>2</v>
      </c>
      <c r="L109" s="181">
        <v>2</v>
      </c>
      <c r="M109" s="181">
        <v>2</v>
      </c>
      <c r="N109" s="181">
        <v>4</v>
      </c>
      <c r="O109" s="188"/>
      <c r="P109" s="192">
        <v>10</v>
      </c>
      <c r="Q109" s="181">
        <v>2</v>
      </c>
      <c r="R109" s="181">
        <v>2</v>
      </c>
      <c r="S109" s="181">
        <v>2</v>
      </c>
      <c r="T109" s="181">
        <v>4</v>
      </c>
      <c r="U109" s="188"/>
      <c r="V109" s="192">
        <v>10</v>
      </c>
      <c r="W109" s="181">
        <v>2</v>
      </c>
      <c r="X109" s="181">
        <v>2</v>
      </c>
      <c r="Y109" s="181">
        <v>2</v>
      </c>
      <c r="Z109" s="181">
        <v>4</v>
      </c>
      <c r="AA109" s="188"/>
      <c r="AB109" s="192">
        <v>10</v>
      </c>
      <c r="AC109" s="181">
        <v>2</v>
      </c>
      <c r="AD109" s="181">
        <v>2</v>
      </c>
      <c r="AE109" s="181">
        <v>2</v>
      </c>
      <c r="AF109" s="181">
        <v>4</v>
      </c>
      <c r="AG109" s="188"/>
      <c r="AH109" s="192">
        <v>10</v>
      </c>
    </row>
    <row r="110" spans="1:34" x14ac:dyDescent="0.2">
      <c r="A110" s="530"/>
      <c r="B110" s="536"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30"/>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30"/>
      <c r="B112" s="526" t="s">
        <v>136</v>
      </c>
      <c r="C112" s="52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30"/>
      <c r="B113" s="526"/>
      <c r="C113" s="52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30"/>
      <c r="B114" s="526"/>
      <c r="C114" s="52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30"/>
      <c r="B115" s="526"/>
      <c r="C115" s="52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30"/>
      <c r="B116" s="526"/>
      <c r="C116" s="52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30"/>
      <c r="B117" s="526"/>
      <c r="C117" s="52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30"/>
      <c r="B118" s="526" t="s">
        <v>86</v>
      </c>
      <c r="C118" s="52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30"/>
      <c r="B119" s="526"/>
      <c r="C119" s="52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30"/>
      <c r="B120" s="526"/>
      <c r="C120" s="52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30"/>
      <c r="B121" s="526"/>
      <c r="C121" s="52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30"/>
      <c r="B122" s="526"/>
      <c r="C122" s="52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30"/>
      <c r="B123" s="526"/>
      <c r="C123" s="52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225" t="s">
        <v>24</v>
      </c>
      <c r="B124" s="524" t="s">
        <v>25</v>
      </c>
      <c r="C124" s="524"/>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row>
    <row r="125" spans="1:34" ht="15.75" customHeight="1" x14ac:dyDescent="0.2">
      <c r="A125" s="529"/>
      <c r="B125" s="526" t="s">
        <v>137</v>
      </c>
      <c r="C125" s="52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529"/>
      <c r="B126" s="526"/>
      <c r="C126" s="52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529"/>
      <c r="B127" s="526"/>
      <c r="C127" s="52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529"/>
      <c r="B128" s="526"/>
      <c r="C128" s="52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529"/>
      <c r="B129" s="526"/>
      <c r="C129" s="52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529"/>
      <c r="B130" s="526"/>
      <c r="C130" s="52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529"/>
      <c r="B131" s="526" t="s">
        <v>138</v>
      </c>
      <c r="C131" s="52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529"/>
      <c r="B132" s="526"/>
      <c r="C132" s="52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529"/>
      <c r="B133" s="526"/>
      <c r="C133" s="52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529"/>
      <c r="B134" s="526"/>
      <c r="C134" s="52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529"/>
      <c r="B135" s="526"/>
      <c r="C135" s="52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529"/>
      <c r="B136" s="526"/>
      <c r="C136" s="52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529"/>
      <c r="B137" s="526" t="s">
        <v>87</v>
      </c>
      <c r="C137" s="523"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529"/>
      <c r="B138" s="526"/>
      <c r="C138" s="523"/>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529"/>
      <c r="B139" s="526"/>
      <c r="C139" s="523"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529"/>
      <c r="B140" s="526"/>
      <c r="C140" s="523"/>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529"/>
      <c r="B141" s="526"/>
      <c r="C141" s="523"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529"/>
      <c r="B142" s="526"/>
      <c r="C142" s="523"/>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20.399999999999999" x14ac:dyDescent="0.2">
      <c r="A143" s="529"/>
      <c r="B143" s="526" t="s">
        <v>139</v>
      </c>
      <c r="C143" s="23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30.6" x14ac:dyDescent="0.2">
      <c r="A144" s="529"/>
      <c r="B144" s="526"/>
      <c r="C144" s="23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ht="30.6" x14ac:dyDescent="0.2">
      <c r="A145" s="529"/>
      <c r="B145" s="526"/>
      <c r="C145" s="23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529"/>
      <c r="B146" s="526" t="s">
        <v>140</v>
      </c>
      <c r="C146" s="52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x14ac:dyDescent="0.2">
      <c r="A147" s="529"/>
      <c r="B147" s="526"/>
      <c r="C147" s="52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529"/>
      <c r="B148" s="526"/>
      <c r="C148" s="523"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529"/>
      <c r="B149" s="526"/>
      <c r="C149" s="523"/>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529"/>
      <c r="B150" s="526"/>
      <c r="C150" s="52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529"/>
      <c r="B151" s="526"/>
      <c r="C151" s="52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225">
        <v>1.6</v>
      </c>
      <c r="B152" s="541" t="s">
        <v>27</v>
      </c>
      <c r="C152" s="541"/>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530"/>
      <c r="B153" s="526" t="s">
        <v>126</v>
      </c>
      <c r="C153" s="52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530"/>
      <c r="B154" s="526"/>
      <c r="C154" s="52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530"/>
      <c r="B155" s="526"/>
      <c r="C155" s="52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530"/>
      <c r="B156" s="526"/>
      <c r="C156" s="52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530"/>
      <c r="B157" s="526"/>
      <c r="C157" s="52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530"/>
      <c r="B158" s="526"/>
      <c r="C158" s="52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530"/>
      <c r="B159" s="526" t="s">
        <v>127</v>
      </c>
      <c r="C159" s="52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530"/>
      <c r="B160" s="526"/>
      <c r="C160" s="52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530"/>
      <c r="B161" s="526"/>
      <c r="C161" s="52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530"/>
      <c r="B162" s="526"/>
      <c r="C162" s="52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530"/>
      <c r="B163" s="526"/>
      <c r="C163" s="52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530"/>
      <c r="B164" s="526"/>
      <c r="C164" s="52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530"/>
      <c r="B165" s="526" t="s">
        <v>128</v>
      </c>
      <c r="C165" s="523"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530"/>
      <c r="B166" s="526"/>
      <c r="C166" s="523"/>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530"/>
      <c r="B167" s="526"/>
      <c r="C167" s="526"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530"/>
      <c r="B168" s="526"/>
      <c r="C168" s="526"/>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530"/>
      <c r="B169" s="526"/>
      <c r="C169" s="526"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530"/>
      <c r="B170" s="526"/>
      <c r="C170" s="526"/>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530"/>
      <c r="B171" s="526" t="s">
        <v>88</v>
      </c>
      <c r="C171" s="526"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530"/>
      <c r="B172" s="526"/>
      <c r="C172" s="526"/>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530"/>
      <c r="B173" s="526"/>
      <c r="C173" s="526"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530"/>
      <c r="B174" s="526"/>
      <c r="C174" s="526"/>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530"/>
      <c r="B175" s="526"/>
      <c r="C175" s="526"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530"/>
      <c r="B176" s="526"/>
      <c r="C176" s="526"/>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530"/>
      <c r="B177" s="526" t="s">
        <v>141</v>
      </c>
      <c r="C177" s="526"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530"/>
      <c r="B178" s="526"/>
      <c r="C178" s="526"/>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530"/>
      <c r="B179" s="526"/>
      <c r="C179" s="526"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530"/>
      <c r="B180" s="526"/>
      <c r="C180" s="526"/>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530"/>
      <c r="B181" s="526"/>
      <c r="C181" s="526"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530"/>
      <c r="B182" s="526"/>
      <c r="C182" s="526"/>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6.5" customHeight="1" x14ac:dyDescent="0.2">
      <c r="A183" s="530"/>
      <c r="B183" s="526" t="s">
        <v>89</v>
      </c>
      <c r="C183" s="526"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530"/>
      <c r="B184" s="526"/>
      <c r="C184" s="526"/>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530"/>
      <c r="B185" s="526"/>
      <c r="C185" s="526"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530"/>
      <c r="B186" s="526"/>
      <c r="C186" s="526"/>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530"/>
      <c r="B187" s="526"/>
      <c r="C187" s="526"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530"/>
      <c r="B188" s="526"/>
      <c r="C188" s="526"/>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225">
        <v>1.7</v>
      </c>
      <c r="B189" s="540" t="s">
        <v>28</v>
      </c>
      <c r="C189" s="540"/>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row>
    <row r="190" spans="1:34" ht="15" customHeight="1" x14ac:dyDescent="0.2">
      <c r="A190" s="529"/>
      <c r="B190" s="526" t="s">
        <v>90</v>
      </c>
      <c r="C190" s="526"/>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529"/>
      <c r="B191" s="526"/>
      <c r="C191" s="526"/>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529"/>
      <c r="B192" s="526" t="s">
        <v>91</v>
      </c>
      <c r="C192" s="526"/>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529"/>
      <c r="B193" s="526"/>
      <c r="C193" s="526"/>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236">
        <v>2</v>
      </c>
      <c r="B194" s="524" t="s">
        <v>29</v>
      </c>
      <c r="C194" s="524"/>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row>
    <row r="195" spans="1:34" ht="15.75" customHeight="1" x14ac:dyDescent="0.2">
      <c r="A195" s="236">
        <v>2.1</v>
      </c>
      <c r="B195" s="524" t="s">
        <v>30</v>
      </c>
      <c r="C195" s="524"/>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row>
    <row r="196" spans="1:34" ht="15.75" customHeight="1" x14ac:dyDescent="0.2">
      <c r="A196" s="529"/>
      <c r="B196" s="525" t="s">
        <v>142</v>
      </c>
      <c r="C196" s="525"/>
      <c r="D196" s="273" t="s">
        <v>78</v>
      </c>
      <c r="E196" s="454">
        <v>0.10009999999999999</v>
      </c>
      <c r="F196" s="454">
        <v>0.10009999999999999</v>
      </c>
      <c r="G196" s="454">
        <v>0.10009999999999999</v>
      </c>
      <c r="H196" s="454">
        <v>0.10009999999999999</v>
      </c>
      <c r="I196" s="197"/>
      <c r="J196" s="454">
        <v>0.10009999999999999</v>
      </c>
      <c r="K196" s="454">
        <v>0.10009999999999999</v>
      </c>
      <c r="L196" s="454">
        <v>0.10009999999999999</v>
      </c>
      <c r="M196" s="454">
        <v>0.10009999999999999</v>
      </c>
      <c r="N196" s="454">
        <v>0.10009999999999999</v>
      </c>
      <c r="O196" s="197"/>
      <c r="P196" s="454">
        <v>0.10009999999999999</v>
      </c>
      <c r="Q196" s="454">
        <v>0.10009999999999999</v>
      </c>
      <c r="R196" s="454">
        <v>0.10009999999999999</v>
      </c>
      <c r="S196" s="454">
        <v>0.10009999999999999</v>
      </c>
      <c r="T196" s="454">
        <v>0.10009999999999999</v>
      </c>
      <c r="U196" s="197"/>
      <c r="V196" s="454">
        <v>0.10009999999999999</v>
      </c>
      <c r="W196" s="454">
        <v>0.10009999999999999</v>
      </c>
      <c r="X196" s="454">
        <v>0.10009999999999999</v>
      </c>
      <c r="Y196" s="454">
        <v>0.10009999999999999</v>
      </c>
      <c r="Z196" s="454">
        <v>0.10009999999999999</v>
      </c>
      <c r="AA196" s="197"/>
      <c r="AB196" s="454">
        <v>0.10009999999999999</v>
      </c>
      <c r="AC196" s="454">
        <v>0.10009999999999999</v>
      </c>
      <c r="AD196" s="454">
        <v>0.10009999999999999</v>
      </c>
      <c r="AE196" s="454">
        <v>0.10009999999999999</v>
      </c>
      <c r="AF196" s="454">
        <v>0.10009999999999999</v>
      </c>
      <c r="AG196" s="185"/>
      <c r="AH196" s="454">
        <v>0.10009999999999999</v>
      </c>
    </row>
    <row r="197" spans="1:34" ht="24" customHeight="1" x14ac:dyDescent="0.2">
      <c r="A197" s="529"/>
      <c r="B197" s="525"/>
      <c r="C197" s="525"/>
      <c r="D197" s="273"/>
      <c r="E197" s="454"/>
      <c r="F197" s="454"/>
      <c r="G197" s="454"/>
      <c r="H197" s="454"/>
      <c r="I197" s="197"/>
      <c r="J197" s="454"/>
      <c r="K197" s="454"/>
      <c r="L197" s="454"/>
      <c r="M197" s="454"/>
      <c r="N197" s="454"/>
      <c r="O197" s="197"/>
      <c r="P197" s="454"/>
      <c r="Q197" s="454"/>
      <c r="R197" s="454"/>
      <c r="S197" s="454"/>
      <c r="T197" s="454"/>
      <c r="U197" s="197"/>
      <c r="V197" s="454"/>
      <c r="W197" s="454"/>
      <c r="X197" s="454"/>
      <c r="Y197" s="454"/>
      <c r="Z197" s="454"/>
      <c r="AA197" s="197"/>
      <c r="AB197" s="454"/>
      <c r="AC197" s="454"/>
      <c r="AD197" s="454"/>
      <c r="AE197" s="454"/>
      <c r="AF197" s="454"/>
      <c r="AG197" s="185"/>
      <c r="AH197" s="454"/>
    </row>
    <row r="198" spans="1:34" x14ac:dyDescent="0.2">
      <c r="A198" s="529"/>
      <c r="B198" s="534" t="s">
        <v>146</v>
      </c>
      <c r="C198" s="534"/>
      <c r="D198" s="273" t="s">
        <v>78</v>
      </c>
      <c r="E198" s="451">
        <v>1</v>
      </c>
      <c r="F198" s="451">
        <v>1</v>
      </c>
      <c r="G198" s="451">
        <v>1</v>
      </c>
      <c r="H198" s="451">
        <v>1</v>
      </c>
      <c r="I198" s="179"/>
      <c r="J198" s="451">
        <v>1</v>
      </c>
      <c r="K198" s="451">
        <v>1</v>
      </c>
      <c r="L198" s="451">
        <v>1</v>
      </c>
      <c r="M198" s="451">
        <v>1</v>
      </c>
      <c r="N198" s="451">
        <v>1</v>
      </c>
      <c r="O198" s="179"/>
      <c r="P198" s="451">
        <v>1</v>
      </c>
      <c r="Q198" s="451">
        <v>1</v>
      </c>
      <c r="R198" s="451">
        <v>1</v>
      </c>
      <c r="S198" s="451">
        <v>1</v>
      </c>
      <c r="T198" s="451">
        <v>1</v>
      </c>
      <c r="U198" s="179"/>
      <c r="V198" s="451">
        <v>1</v>
      </c>
      <c r="W198" s="451">
        <v>1</v>
      </c>
      <c r="X198" s="451">
        <v>1</v>
      </c>
      <c r="Y198" s="451">
        <v>1</v>
      </c>
      <c r="Z198" s="451">
        <v>1</v>
      </c>
      <c r="AA198" s="179"/>
      <c r="AB198" s="451">
        <v>1</v>
      </c>
      <c r="AC198" s="451">
        <v>1</v>
      </c>
      <c r="AD198" s="451">
        <v>1</v>
      </c>
      <c r="AE198" s="451">
        <v>1</v>
      </c>
      <c r="AF198" s="451">
        <v>1</v>
      </c>
      <c r="AG198" s="179"/>
      <c r="AH198" s="451">
        <v>1</v>
      </c>
    </row>
    <row r="199" spans="1:34" ht="26.25" customHeight="1" x14ac:dyDescent="0.2">
      <c r="A199" s="529"/>
      <c r="B199" s="534"/>
      <c r="C199" s="534"/>
      <c r="D199" s="273"/>
      <c r="E199" s="451"/>
      <c r="F199" s="451"/>
      <c r="G199" s="451"/>
      <c r="H199" s="451"/>
      <c r="I199" s="179"/>
      <c r="J199" s="451"/>
      <c r="K199" s="451"/>
      <c r="L199" s="451"/>
      <c r="M199" s="451"/>
      <c r="N199" s="451"/>
      <c r="O199" s="179"/>
      <c r="P199" s="451"/>
      <c r="Q199" s="451"/>
      <c r="R199" s="451"/>
      <c r="S199" s="451"/>
      <c r="T199" s="451"/>
      <c r="U199" s="179"/>
      <c r="V199" s="451"/>
      <c r="W199" s="451"/>
      <c r="X199" s="451"/>
      <c r="Y199" s="451"/>
      <c r="Z199" s="451"/>
      <c r="AA199" s="179"/>
      <c r="AB199" s="451"/>
      <c r="AC199" s="451"/>
      <c r="AD199" s="451"/>
      <c r="AE199" s="451"/>
      <c r="AF199" s="451"/>
      <c r="AG199" s="179"/>
      <c r="AH199" s="451"/>
    </row>
    <row r="200" spans="1:34" ht="30.6" x14ac:dyDescent="0.2">
      <c r="A200" s="529"/>
      <c r="B200" s="534" t="s">
        <v>147</v>
      </c>
      <c r="C200" s="534"/>
      <c r="D200" s="25" t="s">
        <v>100</v>
      </c>
      <c r="E200" s="453">
        <v>0.4</v>
      </c>
      <c r="F200" s="453">
        <v>0.4</v>
      </c>
      <c r="G200" s="453">
        <v>0.4</v>
      </c>
      <c r="H200" s="453">
        <v>0.4</v>
      </c>
      <c r="I200" s="188"/>
      <c r="J200" s="453">
        <v>0.4</v>
      </c>
      <c r="K200" s="453">
        <v>0.4</v>
      </c>
      <c r="L200" s="453">
        <v>0.4</v>
      </c>
      <c r="M200" s="453">
        <v>0.4</v>
      </c>
      <c r="N200" s="453">
        <v>0.4</v>
      </c>
      <c r="O200" s="188"/>
      <c r="P200" s="453">
        <v>0.4</v>
      </c>
      <c r="Q200" s="453">
        <v>0.4</v>
      </c>
      <c r="R200" s="453">
        <v>0.4</v>
      </c>
      <c r="S200" s="453">
        <v>0.4</v>
      </c>
      <c r="T200" s="453">
        <v>0.4</v>
      </c>
      <c r="U200" s="188"/>
      <c r="V200" s="453">
        <v>0.4</v>
      </c>
      <c r="W200" s="453">
        <v>0.4</v>
      </c>
      <c r="X200" s="453">
        <v>0.4</v>
      </c>
      <c r="Y200" s="453">
        <v>0.4</v>
      </c>
      <c r="Z200" s="453">
        <v>0.4</v>
      </c>
      <c r="AA200" s="188"/>
      <c r="AB200" s="453">
        <v>0.4</v>
      </c>
      <c r="AC200" s="453">
        <v>0.4</v>
      </c>
      <c r="AD200" s="453">
        <v>0.4</v>
      </c>
      <c r="AE200" s="453">
        <v>0.4</v>
      </c>
      <c r="AF200" s="453">
        <v>0.4</v>
      </c>
      <c r="AG200" s="188"/>
      <c r="AH200" s="453">
        <v>0.4</v>
      </c>
    </row>
    <row r="201" spans="1:34" ht="26.25" customHeight="1" x14ac:dyDescent="0.2">
      <c r="A201" s="529"/>
      <c r="B201" s="534"/>
      <c r="C201" s="534"/>
      <c r="D201" s="46" t="s">
        <v>31</v>
      </c>
      <c r="E201" s="251"/>
      <c r="F201" s="251"/>
      <c r="G201" s="251"/>
      <c r="H201" s="251"/>
      <c r="I201" s="188"/>
      <c r="J201" s="251"/>
      <c r="K201" s="251"/>
      <c r="L201" s="251"/>
      <c r="M201" s="251"/>
      <c r="N201" s="251"/>
      <c r="O201" s="188"/>
      <c r="P201" s="251"/>
      <c r="Q201" s="251"/>
      <c r="R201" s="251"/>
      <c r="S201" s="251"/>
      <c r="T201" s="251"/>
      <c r="U201" s="188"/>
      <c r="V201" s="251"/>
      <c r="W201" s="251"/>
      <c r="X201" s="251"/>
      <c r="Y201" s="251"/>
      <c r="Z201" s="251"/>
      <c r="AA201" s="188"/>
      <c r="AB201" s="251"/>
      <c r="AC201" s="251"/>
      <c r="AD201" s="251"/>
      <c r="AE201" s="251"/>
      <c r="AF201" s="251"/>
      <c r="AG201" s="188"/>
      <c r="AH201" s="251"/>
    </row>
    <row r="202" spans="1:34" ht="15.75" customHeight="1" x14ac:dyDescent="0.2">
      <c r="A202" s="529"/>
      <c r="B202" s="526" t="s">
        <v>42</v>
      </c>
      <c r="C202" s="526" t="s">
        <v>26</v>
      </c>
      <c r="D202" s="273" t="s">
        <v>78</v>
      </c>
      <c r="E202" s="452">
        <v>1</v>
      </c>
      <c r="F202" s="452">
        <v>1</v>
      </c>
      <c r="G202" s="452">
        <v>1</v>
      </c>
      <c r="H202" s="452">
        <v>1</v>
      </c>
      <c r="I202" s="188"/>
      <c r="J202" s="452">
        <v>1</v>
      </c>
      <c r="K202" s="452">
        <v>1</v>
      </c>
      <c r="L202" s="452">
        <v>1</v>
      </c>
      <c r="M202" s="452">
        <v>1</v>
      </c>
      <c r="N202" s="452">
        <v>1</v>
      </c>
      <c r="O202" s="188"/>
      <c r="P202" s="452">
        <v>1</v>
      </c>
      <c r="Q202" s="452">
        <v>1</v>
      </c>
      <c r="R202" s="452">
        <v>1</v>
      </c>
      <c r="S202" s="452">
        <v>1</v>
      </c>
      <c r="T202" s="452">
        <v>1</v>
      </c>
      <c r="U202" s="188"/>
      <c r="V202" s="452">
        <v>1</v>
      </c>
      <c r="W202" s="452">
        <v>1</v>
      </c>
      <c r="X202" s="452">
        <v>1</v>
      </c>
      <c r="Y202" s="452">
        <v>1</v>
      </c>
      <c r="Z202" s="452">
        <v>1</v>
      </c>
      <c r="AA202" s="188"/>
      <c r="AB202" s="452">
        <v>1</v>
      </c>
      <c r="AC202" s="452">
        <v>1</v>
      </c>
      <c r="AD202" s="452">
        <v>1</v>
      </c>
      <c r="AE202" s="452">
        <v>1</v>
      </c>
      <c r="AF202" s="452">
        <v>1</v>
      </c>
      <c r="AG202" s="188"/>
      <c r="AH202" s="452">
        <v>1</v>
      </c>
    </row>
    <row r="203" spans="1:34" ht="15.75" customHeight="1" x14ac:dyDescent="0.2">
      <c r="A203" s="529"/>
      <c r="B203" s="526"/>
      <c r="C203" s="526"/>
      <c r="D203" s="273"/>
      <c r="E203" s="452"/>
      <c r="F203" s="452"/>
      <c r="G203" s="452"/>
      <c r="H203" s="452"/>
      <c r="I203" s="188"/>
      <c r="J203" s="452"/>
      <c r="K203" s="452"/>
      <c r="L203" s="452"/>
      <c r="M203" s="452"/>
      <c r="N203" s="452"/>
      <c r="O203" s="188"/>
      <c r="P203" s="452"/>
      <c r="Q203" s="452"/>
      <c r="R203" s="452"/>
      <c r="S203" s="452"/>
      <c r="T203" s="452"/>
      <c r="U203" s="188"/>
      <c r="V203" s="452"/>
      <c r="W203" s="452"/>
      <c r="X203" s="452"/>
      <c r="Y203" s="452"/>
      <c r="Z203" s="452"/>
      <c r="AA203" s="188"/>
      <c r="AB203" s="452"/>
      <c r="AC203" s="452"/>
      <c r="AD203" s="452"/>
      <c r="AE203" s="452"/>
      <c r="AF203" s="452"/>
      <c r="AG203" s="188"/>
      <c r="AH203" s="452"/>
    </row>
    <row r="204" spans="1:34" ht="15.75" customHeight="1" x14ac:dyDescent="0.2">
      <c r="A204" s="529"/>
      <c r="B204" s="526"/>
      <c r="C204" s="526" t="s">
        <v>7</v>
      </c>
      <c r="D204" s="273" t="s">
        <v>78</v>
      </c>
      <c r="E204" s="452">
        <v>1</v>
      </c>
      <c r="F204" s="452">
        <v>1</v>
      </c>
      <c r="G204" s="452">
        <v>1</v>
      </c>
      <c r="H204" s="452">
        <v>1</v>
      </c>
      <c r="I204" s="188"/>
      <c r="J204" s="452">
        <v>1</v>
      </c>
      <c r="K204" s="452">
        <v>1</v>
      </c>
      <c r="L204" s="452">
        <v>1</v>
      </c>
      <c r="M204" s="452">
        <v>1</v>
      </c>
      <c r="N204" s="452">
        <v>1</v>
      </c>
      <c r="O204" s="188"/>
      <c r="P204" s="452">
        <v>1</v>
      </c>
      <c r="Q204" s="452">
        <v>1</v>
      </c>
      <c r="R204" s="452">
        <v>1</v>
      </c>
      <c r="S204" s="452">
        <v>1</v>
      </c>
      <c r="T204" s="452">
        <v>1</v>
      </c>
      <c r="U204" s="188"/>
      <c r="V204" s="452">
        <v>1</v>
      </c>
      <c r="W204" s="452">
        <v>1</v>
      </c>
      <c r="X204" s="452">
        <v>1</v>
      </c>
      <c r="Y204" s="452">
        <v>1</v>
      </c>
      <c r="Z204" s="452">
        <v>1</v>
      </c>
      <c r="AA204" s="188"/>
      <c r="AB204" s="452">
        <v>1</v>
      </c>
      <c r="AC204" s="452">
        <v>1</v>
      </c>
      <c r="AD204" s="452">
        <v>1</v>
      </c>
      <c r="AE204" s="452">
        <v>1</v>
      </c>
      <c r="AF204" s="452">
        <v>1</v>
      </c>
      <c r="AG204" s="188"/>
      <c r="AH204" s="452">
        <v>1</v>
      </c>
    </row>
    <row r="205" spans="1:34" ht="15.75" customHeight="1" x14ac:dyDescent="0.2">
      <c r="A205" s="529"/>
      <c r="B205" s="526"/>
      <c r="C205" s="526"/>
      <c r="D205" s="273"/>
      <c r="E205" s="452"/>
      <c r="F205" s="452"/>
      <c r="G205" s="452"/>
      <c r="H205" s="452"/>
      <c r="I205" s="188"/>
      <c r="J205" s="452"/>
      <c r="K205" s="452"/>
      <c r="L205" s="452"/>
      <c r="M205" s="452"/>
      <c r="N205" s="452"/>
      <c r="O205" s="188"/>
      <c r="P205" s="452"/>
      <c r="Q205" s="452"/>
      <c r="R205" s="452"/>
      <c r="S205" s="452"/>
      <c r="T205" s="452"/>
      <c r="U205" s="188"/>
      <c r="V205" s="452"/>
      <c r="W205" s="452"/>
      <c r="X205" s="452"/>
      <c r="Y205" s="452"/>
      <c r="Z205" s="452"/>
      <c r="AA205" s="188"/>
      <c r="AB205" s="452"/>
      <c r="AC205" s="452"/>
      <c r="AD205" s="452"/>
      <c r="AE205" s="452"/>
      <c r="AF205" s="452"/>
      <c r="AG205" s="188"/>
      <c r="AH205" s="452"/>
    </row>
    <row r="206" spans="1:34" ht="15.75" customHeight="1" x14ac:dyDescent="0.2">
      <c r="A206" s="529"/>
      <c r="B206" s="526"/>
      <c r="C206" s="526" t="s">
        <v>8</v>
      </c>
      <c r="D206" s="273" t="s">
        <v>78</v>
      </c>
      <c r="E206" s="452">
        <v>1</v>
      </c>
      <c r="F206" s="452">
        <v>1</v>
      </c>
      <c r="G206" s="452">
        <v>1</v>
      </c>
      <c r="H206" s="452">
        <v>1</v>
      </c>
      <c r="I206" s="188"/>
      <c r="J206" s="452">
        <v>1</v>
      </c>
      <c r="K206" s="452">
        <v>1</v>
      </c>
      <c r="L206" s="452">
        <v>1</v>
      </c>
      <c r="M206" s="452">
        <v>1</v>
      </c>
      <c r="N206" s="452">
        <v>1</v>
      </c>
      <c r="O206" s="188"/>
      <c r="P206" s="452">
        <v>1</v>
      </c>
      <c r="Q206" s="452">
        <v>1</v>
      </c>
      <c r="R206" s="452">
        <v>1</v>
      </c>
      <c r="S206" s="452">
        <v>1</v>
      </c>
      <c r="T206" s="452">
        <v>1</v>
      </c>
      <c r="U206" s="188"/>
      <c r="V206" s="452">
        <v>1</v>
      </c>
      <c r="W206" s="452">
        <v>1</v>
      </c>
      <c r="X206" s="452">
        <v>1</v>
      </c>
      <c r="Y206" s="452">
        <v>1</v>
      </c>
      <c r="Z206" s="452">
        <v>1</v>
      </c>
      <c r="AA206" s="188"/>
      <c r="AB206" s="452">
        <v>1</v>
      </c>
      <c r="AC206" s="452">
        <v>1</v>
      </c>
      <c r="AD206" s="452">
        <v>1</v>
      </c>
      <c r="AE206" s="452">
        <v>1</v>
      </c>
      <c r="AF206" s="452">
        <v>1</v>
      </c>
      <c r="AG206" s="188"/>
      <c r="AH206" s="452">
        <v>1</v>
      </c>
    </row>
    <row r="207" spans="1:34" ht="15.75" customHeight="1" x14ac:dyDescent="0.2">
      <c r="A207" s="529"/>
      <c r="B207" s="526"/>
      <c r="C207" s="526"/>
      <c r="D207" s="273"/>
      <c r="E207" s="452"/>
      <c r="F207" s="452"/>
      <c r="G207" s="452"/>
      <c r="H207" s="452"/>
      <c r="I207" s="188"/>
      <c r="J207" s="452"/>
      <c r="K207" s="452"/>
      <c r="L207" s="452"/>
      <c r="M207" s="452"/>
      <c r="N207" s="452"/>
      <c r="O207" s="188"/>
      <c r="P207" s="452"/>
      <c r="Q207" s="452"/>
      <c r="R207" s="452"/>
      <c r="S207" s="452"/>
      <c r="T207" s="452"/>
      <c r="U207" s="188"/>
      <c r="V207" s="452"/>
      <c r="W207" s="452"/>
      <c r="X207" s="452"/>
      <c r="Y207" s="452"/>
      <c r="Z207" s="452"/>
      <c r="AA207" s="188"/>
      <c r="AB207" s="452"/>
      <c r="AC207" s="452"/>
      <c r="AD207" s="452"/>
      <c r="AE207" s="452"/>
      <c r="AF207" s="452"/>
      <c r="AG207" s="188"/>
      <c r="AH207" s="452"/>
    </row>
    <row r="208" spans="1:34" x14ac:dyDescent="0.2">
      <c r="A208" s="529"/>
      <c r="B208" s="525" t="s">
        <v>130</v>
      </c>
      <c r="C208" s="525"/>
      <c r="D208" s="273" t="s">
        <v>78</v>
      </c>
      <c r="E208" s="452">
        <f>30.188/49.864</f>
        <v>0.60540670624097548</v>
      </c>
      <c r="F208" s="452">
        <f>30.188/49.864</f>
        <v>0.60540670624097548</v>
      </c>
      <c r="G208" s="452">
        <f>30.188/49.864</f>
        <v>0.60540670624097548</v>
      </c>
      <c r="H208" s="452">
        <f>30.188/49.864</f>
        <v>0.60540670624097548</v>
      </c>
      <c r="I208" s="179"/>
      <c r="J208" s="452">
        <f>30.188/49.864</f>
        <v>0.60540670624097548</v>
      </c>
      <c r="K208" s="452">
        <f>30.188/49.864</f>
        <v>0.60540670624097548</v>
      </c>
      <c r="L208" s="452">
        <f>30.188/49.864</f>
        <v>0.60540670624097548</v>
      </c>
      <c r="M208" s="452">
        <f>30.188/49.864</f>
        <v>0.60540670624097548</v>
      </c>
      <c r="N208" s="452">
        <f>30.188/49.864</f>
        <v>0.60540670624097548</v>
      </c>
      <c r="O208" s="179"/>
      <c r="P208" s="452">
        <f>30.188/49.864</f>
        <v>0.60540670624097548</v>
      </c>
      <c r="Q208" s="452">
        <f>30.188/49.864</f>
        <v>0.60540670624097548</v>
      </c>
      <c r="R208" s="452">
        <f>30.188/49.864</f>
        <v>0.60540670624097548</v>
      </c>
      <c r="S208" s="452">
        <f>30.188/49.864</f>
        <v>0.60540670624097548</v>
      </c>
      <c r="T208" s="452">
        <f>30.188/49.864</f>
        <v>0.60540670624097548</v>
      </c>
      <c r="U208" s="179"/>
      <c r="V208" s="452">
        <f>30.188/49.864</f>
        <v>0.60540670624097548</v>
      </c>
      <c r="W208" s="452">
        <f>30.188/49.864</f>
        <v>0.60540670624097548</v>
      </c>
      <c r="X208" s="452">
        <f>30.188/49.864</f>
        <v>0.60540670624097548</v>
      </c>
      <c r="Y208" s="452">
        <f>30.188/49.864</f>
        <v>0.60540670624097548</v>
      </c>
      <c r="Z208" s="452">
        <f>30.188/49.864</f>
        <v>0.60540670624097548</v>
      </c>
      <c r="AA208" s="179"/>
      <c r="AB208" s="452">
        <f>30.188/49.864</f>
        <v>0.60540670624097548</v>
      </c>
      <c r="AC208" s="452">
        <f>30.188/49.864</f>
        <v>0.60540670624097548</v>
      </c>
      <c r="AD208" s="452">
        <f>30.188/49.864</f>
        <v>0.60540670624097548</v>
      </c>
      <c r="AE208" s="452">
        <f>30.188/49.864</f>
        <v>0.60540670624097548</v>
      </c>
      <c r="AF208" s="452">
        <f>30.188/49.864</f>
        <v>0.60540670624097548</v>
      </c>
      <c r="AG208" s="179"/>
      <c r="AH208" s="452">
        <f>30.188/49.864</f>
        <v>0.60540670624097548</v>
      </c>
    </row>
    <row r="209" spans="1:34" x14ac:dyDescent="0.2">
      <c r="A209" s="529"/>
      <c r="B209" s="525"/>
      <c r="C209" s="525"/>
      <c r="D209" s="273"/>
      <c r="E209" s="452"/>
      <c r="F209" s="452"/>
      <c r="G209" s="452"/>
      <c r="H209" s="452"/>
      <c r="I209" s="179"/>
      <c r="J209" s="452"/>
      <c r="K209" s="452"/>
      <c r="L209" s="452"/>
      <c r="M209" s="452"/>
      <c r="N209" s="452"/>
      <c r="O209" s="179"/>
      <c r="P209" s="452"/>
      <c r="Q209" s="452"/>
      <c r="R209" s="452"/>
      <c r="S209" s="452"/>
      <c r="T209" s="452"/>
      <c r="U209" s="179"/>
      <c r="V209" s="452"/>
      <c r="W209" s="452"/>
      <c r="X209" s="452"/>
      <c r="Y209" s="452"/>
      <c r="Z209" s="452"/>
      <c r="AA209" s="179"/>
      <c r="AB209" s="452"/>
      <c r="AC209" s="452"/>
      <c r="AD209" s="452"/>
      <c r="AE209" s="452"/>
      <c r="AF209" s="452"/>
      <c r="AG209" s="179"/>
      <c r="AH209" s="452"/>
    </row>
    <row r="210" spans="1:34" ht="15.75" customHeight="1" x14ac:dyDescent="0.2">
      <c r="A210" s="529"/>
      <c r="B210" s="526" t="s">
        <v>131</v>
      </c>
      <c r="C210" s="526"/>
      <c r="D210" s="273" t="s">
        <v>78</v>
      </c>
      <c r="E210" s="452">
        <v>1</v>
      </c>
      <c r="F210" s="452">
        <f>4077/4077</f>
        <v>1</v>
      </c>
      <c r="G210" s="452">
        <f>4077/4077</f>
        <v>1</v>
      </c>
      <c r="H210" s="452">
        <f>4077/4077</f>
        <v>1</v>
      </c>
      <c r="I210" s="185"/>
      <c r="J210" s="452">
        <f>4077/4077</f>
        <v>1</v>
      </c>
      <c r="K210" s="452">
        <f>2669/2669</f>
        <v>1</v>
      </c>
      <c r="L210" s="452">
        <f>2669/2669</f>
        <v>1</v>
      </c>
      <c r="M210" s="452">
        <f>2669/2669</f>
        <v>1</v>
      </c>
      <c r="N210" s="452">
        <f>2669/2669</f>
        <v>1</v>
      </c>
      <c r="O210" s="179"/>
      <c r="P210" s="452">
        <v>1</v>
      </c>
      <c r="Q210" s="452">
        <v>1</v>
      </c>
      <c r="R210" s="452">
        <v>1</v>
      </c>
      <c r="S210" s="452">
        <v>1</v>
      </c>
      <c r="T210" s="452">
        <v>1</v>
      </c>
      <c r="U210" s="179"/>
      <c r="V210" s="452">
        <v>1</v>
      </c>
      <c r="W210" s="452">
        <v>1</v>
      </c>
      <c r="X210" s="452">
        <v>1</v>
      </c>
      <c r="Y210" s="452">
        <v>1</v>
      </c>
      <c r="Z210" s="452">
        <v>1</v>
      </c>
      <c r="AA210" s="179"/>
      <c r="AB210" s="452">
        <v>1</v>
      </c>
      <c r="AC210" s="452">
        <v>1</v>
      </c>
      <c r="AD210" s="452">
        <v>1</v>
      </c>
      <c r="AE210" s="452">
        <v>1</v>
      </c>
      <c r="AF210" s="452">
        <v>1</v>
      </c>
      <c r="AG210" s="179"/>
      <c r="AH210" s="452">
        <v>1</v>
      </c>
    </row>
    <row r="211" spans="1:34" ht="15.75" customHeight="1" x14ac:dyDescent="0.2">
      <c r="A211" s="529"/>
      <c r="B211" s="526"/>
      <c r="C211" s="526"/>
      <c r="D211" s="273"/>
      <c r="E211" s="452"/>
      <c r="F211" s="452"/>
      <c r="G211" s="452"/>
      <c r="H211" s="452"/>
      <c r="I211" s="185"/>
      <c r="J211" s="452"/>
      <c r="K211" s="452"/>
      <c r="L211" s="452"/>
      <c r="M211" s="452"/>
      <c r="N211" s="452"/>
      <c r="O211" s="179"/>
      <c r="P211" s="452"/>
      <c r="Q211" s="452"/>
      <c r="R211" s="452"/>
      <c r="S211" s="452"/>
      <c r="T211" s="452"/>
      <c r="U211" s="179"/>
      <c r="V211" s="452"/>
      <c r="W211" s="452"/>
      <c r="X211" s="452"/>
      <c r="Y211" s="452"/>
      <c r="Z211" s="452"/>
      <c r="AA211" s="179"/>
      <c r="AB211" s="452"/>
      <c r="AC211" s="452"/>
      <c r="AD211" s="452"/>
      <c r="AE211" s="452"/>
      <c r="AF211" s="452"/>
      <c r="AG211" s="179"/>
      <c r="AH211" s="452"/>
    </row>
    <row r="212" spans="1:34" ht="21.75" customHeight="1" x14ac:dyDescent="0.2">
      <c r="A212" s="225">
        <v>2.2000000000000002</v>
      </c>
      <c r="B212" s="524" t="s">
        <v>33</v>
      </c>
      <c r="C212" s="524"/>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row>
    <row r="213" spans="1:34" x14ac:dyDescent="0.2">
      <c r="A213" s="529"/>
      <c r="B213" s="526" t="s">
        <v>43</v>
      </c>
      <c r="C213" s="526"/>
      <c r="D213" s="273" t="s">
        <v>78</v>
      </c>
      <c r="E213" s="452">
        <f>10.8/49.864</f>
        <v>0.2165891224129633</v>
      </c>
      <c r="F213" s="452">
        <f>10.8/49.864</f>
        <v>0.2165891224129633</v>
      </c>
      <c r="G213" s="452">
        <f>10.8/49.864</f>
        <v>0.2165891224129633</v>
      </c>
      <c r="H213" s="452">
        <f>10.8/49.864</f>
        <v>0.2165891224129633</v>
      </c>
      <c r="I213" s="179"/>
      <c r="J213" s="452">
        <f>10.8/49.864</f>
        <v>0.2165891224129633</v>
      </c>
      <c r="K213" s="452">
        <f>10.8/49.864</f>
        <v>0.2165891224129633</v>
      </c>
      <c r="L213" s="452">
        <f>10.8/49.864</f>
        <v>0.2165891224129633</v>
      </c>
      <c r="M213" s="452">
        <f>10.8/49.864</f>
        <v>0.2165891224129633</v>
      </c>
      <c r="N213" s="452">
        <f>10.8/49.864</f>
        <v>0.2165891224129633</v>
      </c>
      <c r="O213" s="179"/>
      <c r="P213" s="452">
        <f>10.8/49.864</f>
        <v>0.2165891224129633</v>
      </c>
      <c r="Q213" s="452">
        <f>10.8/49.864</f>
        <v>0.2165891224129633</v>
      </c>
      <c r="R213" s="452">
        <f>10.8/49.864</f>
        <v>0.2165891224129633</v>
      </c>
      <c r="S213" s="452">
        <f>10.8/49.864</f>
        <v>0.2165891224129633</v>
      </c>
      <c r="T213" s="452">
        <f>10.8/49.864</f>
        <v>0.2165891224129633</v>
      </c>
      <c r="U213" s="179"/>
      <c r="V213" s="452">
        <f>10.8/49.864</f>
        <v>0.2165891224129633</v>
      </c>
      <c r="W213" s="452">
        <f>(10.8+9.458)/49.864</f>
        <v>0.40626504091127874</v>
      </c>
      <c r="X213" s="452">
        <f>(10.8+9.458)/49.864</f>
        <v>0.40626504091127874</v>
      </c>
      <c r="Y213" s="452">
        <f>(10.8+9.458)/49.864</f>
        <v>0.40626504091127874</v>
      </c>
      <c r="Z213" s="452">
        <f>(10.8+9.458)/49.864</f>
        <v>0.40626504091127874</v>
      </c>
      <c r="AA213" s="179"/>
      <c r="AB213" s="452">
        <f>(10.8+9.458)/49.864</f>
        <v>0.40626504091127874</v>
      </c>
      <c r="AC213" s="452">
        <f>(10.8+9.458)/49.864</f>
        <v>0.40626504091127874</v>
      </c>
      <c r="AD213" s="452">
        <f>(10.8+9.458)/49.864</f>
        <v>0.40626504091127874</v>
      </c>
      <c r="AE213" s="452">
        <f>(10.8+9.458)/49.864</f>
        <v>0.40626504091127874</v>
      </c>
      <c r="AF213" s="452">
        <f>(10.8+9.458)/49.864</f>
        <v>0.40626504091127874</v>
      </c>
      <c r="AG213" s="179"/>
      <c r="AH213" s="452">
        <f>(10.8+9.458)/49.864</f>
        <v>0.40626504091127874</v>
      </c>
    </row>
    <row r="214" spans="1:34" ht="22.5" customHeight="1" x14ac:dyDescent="0.2">
      <c r="A214" s="529"/>
      <c r="B214" s="526"/>
      <c r="C214" s="526"/>
      <c r="D214" s="273"/>
      <c r="E214" s="452"/>
      <c r="F214" s="452"/>
      <c r="G214" s="452"/>
      <c r="H214" s="452"/>
      <c r="I214" s="179"/>
      <c r="J214" s="452"/>
      <c r="K214" s="452"/>
      <c r="L214" s="452"/>
      <c r="M214" s="452"/>
      <c r="N214" s="452"/>
      <c r="O214" s="179"/>
      <c r="P214" s="452"/>
      <c r="Q214" s="452"/>
      <c r="R214" s="452"/>
      <c r="S214" s="452"/>
      <c r="T214" s="452"/>
      <c r="U214" s="179"/>
      <c r="V214" s="452"/>
      <c r="W214" s="452"/>
      <c r="X214" s="452"/>
      <c r="Y214" s="452"/>
      <c r="Z214" s="452"/>
      <c r="AA214" s="179"/>
      <c r="AB214" s="452"/>
      <c r="AC214" s="452"/>
      <c r="AD214" s="452"/>
      <c r="AE214" s="452"/>
      <c r="AF214" s="452"/>
      <c r="AG214" s="179"/>
      <c r="AH214" s="452"/>
    </row>
    <row r="215" spans="1:34" x14ac:dyDescent="0.2">
      <c r="A215" s="529"/>
      <c r="B215" s="526" t="s">
        <v>44</v>
      </c>
      <c r="C215" s="526"/>
      <c r="D215" s="273" t="s">
        <v>78</v>
      </c>
      <c r="E215" s="452">
        <v>1</v>
      </c>
      <c r="F215" s="452">
        <v>1</v>
      </c>
      <c r="G215" s="452">
        <v>1</v>
      </c>
      <c r="H215" s="452">
        <v>1</v>
      </c>
      <c r="I215" s="179"/>
      <c r="J215" s="452">
        <v>1</v>
      </c>
      <c r="K215" s="452">
        <v>1</v>
      </c>
      <c r="L215" s="452">
        <v>1</v>
      </c>
      <c r="M215" s="452">
        <v>1</v>
      </c>
      <c r="N215" s="452">
        <v>1</v>
      </c>
      <c r="O215" s="179"/>
      <c r="P215" s="452">
        <v>1</v>
      </c>
      <c r="Q215" s="452">
        <v>1</v>
      </c>
      <c r="R215" s="452">
        <v>1</v>
      </c>
      <c r="S215" s="452">
        <v>1</v>
      </c>
      <c r="T215" s="452">
        <v>1</v>
      </c>
      <c r="U215" s="179"/>
      <c r="V215" s="452">
        <v>1</v>
      </c>
      <c r="W215" s="452">
        <f>10.8/(10.8+6.348+2.774+0.336)</f>
        <v>0.53312271695132796</v>
      </c>
      <c r="X215" s="452">
        <f>10.8/(10.8+6.348+2.774+0.336)</f>
        <v>0.53312271695132796</v>
      </c>
      <c r="Y215" s="452">
        <f>10.8/(10.8+6.348+2.774+0.336)</f>
        <v>0.53312271695132796</v>
      </c>
      <c r="Z215" s="452">
        <f>10.8/(10.8+6.348+2.774+0.336)</f>
        <v>0.53312271695132796</v>
      </c>
      <c r="AA215" s="179"/>
      <c r="AB215" s="452">
        <f>10.8/(10.8+6.348+2.774+0.336)</f>
        <v>0.53312271695132796</v>
      </c>
      <c r="AC215" s="452">
        <v>1</v>
      </c>
      <c r="AD215" s="452">
        <v>1</v>
      </c>
      <c r="AE215" s="452">
        <v>1</v>
      </c>
      <c r="AF215" s="452">
        <v>1</v>
      </c>
      <c r="AG215" s="179"/>
      <c r="AH215" s="452">
        <v>1</v>
      </c>
    </row>
    <row r="216" spans="1:34" x14ac:dyDescent="0.2">
      <c r="A216" s="529"/>
      <c r="B216" s="526"/>
      <c r="C216" s="526"/>
      <c r="D216" s="273"/>
      <c r="E216" s="452"/>
      <c r="F216" s="452"/>
      <c r="G216" s="452"/>
      <c r="H216" s="452"/>
      <c r="I216" s="179"/>
      <c r="J216" s="452"/>
      <c r="K216" s="452"/>
      <c r="L216" s="452"/>
      <c r="M216" s="452"/>
      <c r="N216" s="452"/>
      <c r="O216" s="179"/>
      <c r="P216" s="452"/>
      <c r="Q216" s="452"/>
      <c r="R216" s="452"/>
      <c r="S216" s="452"/>
      <c r="T216" s="452"/>
      <c r="U216" s="179"/>
      <c r="V216" s="452"/>
      <c r="W216" s="452"/>
      <c r="X216" s="452"/>
      <c r="Y216" s="452"/>
      <c r="Z216" s="452"/>
      <c r="AA216" s="179"/>
      <c r="AB216" s="452"/>
      <c r="AC216" s="452"/>
      <c r="AD216" s="452"/>
      <c r="AE216" s="452"/>
      <c r="AF216" s="452"/>
      <c r="AG216" s="179"/>
      <c r="AH216" s="452"/>
    </row>
    <row r="217" spans="1:34" ht="21.75" customHeight="1" x14ac:dyDescent="0.2">
      <c r="A217" s="529"/>
      <c r="B217" s="526" t="s">
        <v>153</v>
      </c>
      <c r="C217" s="526"/>
      <c r="D217" s="25" t="s">
        <v>100</v>
      </c>
      <c r="E217" s="453">
        <v>1.4</v>
      </c>
      <c r="F217" s="453">
        <v>1.4</v>
      </c>
      <c r="G217" s="453">
        <v>1.4</v>
      </c>
      <c r="H217" s="453">
        <v>1.4</v>
      </c>
      <c r="I217" s="188"/>
      <c r="J217" s="453">
        <v>1.4</v>
      </c>
      <c r="K217" s="453">
        <v>1.4</v>
      </c>
      <c r="L217" s="453">
        <v>1.4</v>
      </c>
      <c r="M217" s="453">
        <v>1.4</v>
      </c>
      <c r="N217" s="453">
        <v>1.4</v>
      </c>
      <c r="O217" s="188"/>
      <c r="P217" s="453">
        <v>1.4</v>
      </c>
      <c r="Q217" s="453">
        <v>1.4</v>
      </c>
      <c r="R217" s="453">
        <v>1.4</v>
      </c>
      <c r="S217" s="453">
        <v>1.4</v>
      </c>
      <c r="T217" s="453">
        <v>1.4</v>
      </c>
      <c r="U217" s="188"/>
      <c r="V217" s="453">
        <v>1.4</v>
      </c>
      <c r="W217" s="453">
        <v>1.4</v>
      </c>
      <c r="X217" s="453">
        <v>1.4</v>
      </c>
      <c r="Y217" s="453">
        <v>1.4</v>
      </c>
      <c r="Z217" s="453">
        <v>1.4</v>
      </c>
      <c r="AA217" s="188"/>
      <c r="AB217" s="453">
        <v>1.4</v>
      </c>
      <c r="AC217" s="453">
        <v>1.4</v>
      </c>
      <c r="AD217" s="453">
        <v>1.4</v>
      </c>
      <c r="AE217" s="453">
        <v>1.4</v>
      </c>
      <c r="AF217" s="453">
        <v>1.4</v>
      </c>
      <c r="AG217" s="188"/>
      <c r="AH217" s="453">
        <v>1.4</v>
      </c>
    </row>
    <row r="218" spans="1:34" ht="23.25" customHeight="1" x14ac:dyDescent="0.2">
      <c r="A218" s="529"/>
      <c r="B218" s="526"/>
      <c r="C218" s="526"/>
      <c r="D218" s="19" t="s">
        <v>31</v>
      </c>
      <c r="E218" s="251"/>
      <c r="F218" s="251"/>
      <c r="G218" s="251"/>
      <c r="H218" s="251"/>
      <c r="I218" s="188"/>
      <c r="J218" s="251"/>
      <c r="K218" s="251"/>
      <c r="L218" s="251"/>
      <c r="M218" s="251"/>
      <c r="N218" s="251"/>
      <c r="O218" s="188"/>
      <c r="P218" s="251"/>
      <c r="Q218" s="251"/>
      <c r="R218" s="251"/>
      <c r="S218" s="251"/>
      <c r="T218" s="251"/>
      <c r="U218" s="188"/>
      <c r="V218" s="251"/>
      <c r="W218" s="251"/>
      <c r="X218" s="251"/>
      <c r="Y218" s="251"/>
      <c r="Z218" s="251"/>
      <c r="AA218" s="188"/>
      <c r="AB218" s="251"/>
      <c r="AC218" s="251"/>
      <c r="AD218" s="251"/>
      <c r="AE218" s="251"/>
      <c r="AF218" s="251"/>
      <c r="AG218" s="188"/>
      <c r="AH218" s="251"/>
    </row>
    <row r="219" spans="1:34" x14ac:dyDescent="0.2">
      <c r="A219" s="229"/>
      <c r="B219" s="230"/>
      <c r="C219" s="230"/>
      <c r="D219" s="33"/>
      <c r="E219" s="199"/>
      <c r="F219" s="199"/>
      <c r="G219" s="199"/>
      <c r="H219" s="199"/>
      <c r="I219" s="200"/>
      <c r="J219" s="200"/>
      <c r="K219" s="199"/>
      <c r="L219" s="199"/>
      <c r="M219" s="199"/>
      <c r="N219" s="199"/>
      <c r="O219" s="200"/>
      <c r="P219" s="200"/>
      <c r="Q219" s="199"/>
      <c r="R219" s="199"/>
      <c r="S219" s="199"/>
      <c r="T219" s="199"/>
      <c r="U219" s="200"/>
      <c r="V219" s="200"/>
      <c r="W219" s="199"/>
      <c r="X219" s="199"/>
      <c r="Y219" s="199"/>
      <c r="Z219" s="199"/>
      <c r="AA219" s="200"/>
      <c r="AB219" s="200"/>
      <c r="AC219" s="199"/>
      <c r="AD219" s="199"/>
      <c r="AE219" s="199"/>
      <c r="AF219" s="199"/>
      <c r="AG219" s="200"/>
      <c r="AH219" s="200"/>
    </row>
    <row r="220" spans="1:34" x14ac:dyDescent="0.2">
      <c r="A220" s="225" t="s">
        <v>34</v>
      </c>
      <c r="B220" s="237"/>
      <c r="C220" s="234"/>
      <c r="D220" s="49"/>
      <c r="E220" s="200"/>
      <c r="F220" s="200"/>
      <c r="G220" s="202"/>
      <c r="H220" s="200"/>
      <c r="I220" s="200"/>
      <c r="J220" s="200"/>
      <c r="K220" s="200"/>
      <c r="L220" s="200"/>
      <c r="M220" s="202"/>
      <c r="N220" s="200"/>
      <c r="O220" s="200"/>
      <c r="P220" s="200"/>
      <c r="Q220" s="200"/>
      <c r="R220" s="200"/>
      <c r="S220" s="202"/>
      <c r="T220" s="200"/>
      <c r="U220" s="200"/>
      <c r="V220" s="200"/>
      <c r="W220" s="200"/>
      <c r="X220" s="200"/>
      <c r="Y220" s="202"/>
      <c r="Z220" s="200"/>
      <c r="AA220" s="200"/>
      <c r="AB220" s="200"/>
      <c r="AC220" s="200"/>
      <c r="AD220" s="200"/>
      <c r="AE220" s="202"/>
      <c r="AF220" s="200"/>
      <c r="AG220" s="200"/>
      <c r="AH220" s="200"/>
    </row>
    <row r="221" spans="1:34" x14ac:dyDescent="0.2">
      <c r="A221" s="225"/>
      <c r="B221" s="237"/>
      <c r="C221" s="234"/>
      <c r="D221" s="49"/>
      <c r="E221" s="200"/>
      <c r="F221" s="200"/>
      <c r="G221" s="200"/>
      <c r="H221" s="200"/>
      <c r="I221" s="179"/>
      <c r="J221" s="179"/>
      <c r="K221" s="200"/>
      <c r="L221" s="200"/>
      <c r="M221" s="200"/>
      <c r="N221" s="200"/>
      <c r="O221" s="179"/>
      <c r="P221" s="179"/>
      <c r="Q221" s="200"/>
      <c r="R221" s="200"/>
      <c r="S221" s="200"/>
      <c r="T221" s="200"/>
      <c r="U221" s="179"/>
      <c r="V221" s="179"/>
      <c r="W221" s="200"/>
      <c r="X221" s="200"/>
      <c r="Y221" s="200"/>
      <c r="Z221" s="200"/>
      <c r="AA221" s="179"/>
      <c r="AB221" s="179"/>
      <c r="AC221" s="200"/>
      <c r="AD221" s="200"/>
      <c r="AE221" s="200"/>
      <c r="AF221" s="200"/>
      <c r="AG221" s="179"/>
      <c r="AH221" s="179"/>
    </row>
    <row r="222" spans="1:34" ht="33" customHeight="1" x14ac:dyDescent="0.2">
      <c r="A222" s="531"/>
      <c r="B222" s="532" t="s">
        <v>38</v>
      </c>
      <c r="C222" s="533"/>
      <c r="D222" s="22"/>
      <c r="E222" s="178">
        <v>2026</v>
      </c>
      <c r="F222" s="178"/>
      <c r="G222" s="461"/>
      <c r="H222" s="461"/>
      <c r="I222" s="180" t="s">
        <v>5</v>
      </c>
      <c r="J222" s="180"/>
      <c r="K222" s="178">
        <v>2027</v>
      </c>
      <c r="L222" s="178"/>
      <c r="M222" s="461"/>
      <c r="N222" s="461"/>
      <c r="O222" s="180" t="s">
        <v>5</v>
      </c>
      <c r="P222" s="180"/>
      <c r="Q222" s="178">
        <v>2028</v>
      </c>
      <c r="R222" s="178"/>
      <c r="S222" s="461"/>
      <c r="T222" s="461"/>
      <c r="U222" s="180" t="s">
        <v>5</v>
      </c>
      <c r="V222" s="180"/>
      <c r="W222" s="178"/>
      <c r="X222" s="178"/>
      <c r="Y222" s="461">
        <v>2029</v>
      </c>
      <c r="Z222" s="461"/>
      <c r="AA222" s="180" t="s">
        <v>5</v>
      </c>
      <c r="AB222" s="180"/>
      <c r="AC222" s="178">
        <v>2030</v>
      </c>
      <c r="AD222" s="178"/>
      <c r="AE222" s="461"/>
      <c r="AF222" s="461"/>
      <c r="AG222" s="180" t="s">
        <v>5</v>
      </c>
      <c r="AH222" s="180"/>
    </row>
    <row r="223" spans="1:34" ht="23.25" customHeight="1" x14ac:dyDescent="0.2">
      <c r="A223" s="531"/>
      <c r="B223" s="532"/>
      <c r="C223" s="533"/>
      <c r="D223" s="40"/>
      <c r="E223" s="176" t="s">
        <v>1</v>
      </c>
      <c r="F223" s="176" t="s">
        <v>2</v>
      </c>
      <c r="G223" s="176" t="s">
        <v>3</v>
      </c>
      <c r="H223" s="176" t="s">
        <v>4</v>
      </c>
      <c r="I223" s="178">
        <v>9</v>
      </c>
      <c r="J223" s="178"/>
      <c r="K223" s="176" t="s">
        <v>1</v>
      </c>
      <c r="L223" s="176" t="s">
        <v>2</v>
      </c>
      <c r="M223" s="176" t="s">
        <v>3</v>
      </c>
      <c r="N223" s="176" t="s">
        <v>4</v>
      </c>
      <c r="O223" s="178">
        <v>9</v>
      </c>
      <c r="P223" s="178"/>
      <c r="Q223" s="176" t="s">
        <v>1</v>
      </c>
      <c r="R223" s="176" t="s">
        <v>2</v>
      </c>
      <c r="S223" s="176" t="s">
        <v>3</v>
      </c>
      <c r="T223" s="176" t="s">
        <v>4</v>
      </c>
      <c r="U223" s="178">
        <v>9</v>
      </c>
      <c r="V223" s="178"/>
      <c r="W223" s="176"/>
      <c r="X223" s="176"/>
      <c r="Y223" s="176" t="s">
        <v>3</v>
      </c>
      <c r="Z223" s="176" t="s">
        <v>4</v>
      </c>
      <c r="AA223" s="178">
        <v>9</v>
      </c>
      <c r="AB223" s="178"/>
      <c r="AC223" s="176" t="s">
        <v>1</v>
      </c>
      <c r="AD223" s="176" t="s">
        <v>2</v>
      </c>
      <c r="AE223" s="176" t="s">
        <v>3</v>
      </c>
      <c r="AF223" s="176" t="s">
        <v>4</v>
      </c>
      <c r="AG223" s="178">
        <v>9</v>
      </c>
      <c r="AH223" s="178"/>
    </row>
    <row r="224" spans="1:34" x14ac:dyDescent="0.2">
      <c r="A224" s="227">
        <v>0</v>
      </c>
      <c r="B224" s="227">
        <v>1</v>
      </c>
      <c r="C224" s="226">
        <v>2</v>
      </c>
      <c r="D224" s="22">
        <v>3</v>
      </c>
      <c r="E224" s="178" t="s">
        <v>113</v>
      </c>
      <c r="F224" s="178" t="s">
        <v>114</v>
      </c>
      <c r="G224" s="178" t="s">
        <v>115</v>
      </c>
      <c r="H224" s="178" t="s">
        <v>116</v>
      </c>
      <c r="I224" s="178"/>
      <c r="J224" s="178"/>
      <c r="K224" s="178" t="s">
        <v>113</v>
      </c>
      <c r="L224" s="178" t="s">
        <v>114</v>
      </c>
      <c r="M224" s="178" t="s">
        <v>115</v>
      </c>
      <c r="N224" s="178" t="s">
        <v>116</v>
      </c>
      <c r="O224" s="178"/>
      <c r="P224" s="178"/>
      <c r="Q224" s="178" t="s">
        <v>113</v>
      </c>
      <c r="R224" s="178" t="s">
        <v>114</v>
      </c>
      <c r="S224" s="178" t="s">
        <v>115</v>
      </c>
      <c r="T224" s="178" t="s">
        <v>116</v>
      </c>
      <c r="U224" s="178"/>
      <c r="V224" s="178"/>
      <c r="W224" s="178" t="s">
        <v>113</v>
      </c>
      <c r="X224" s="178" t="s">
        <v>114</v>
      </c>
      <c r="Y224" s="178" t="s">
        <v>115</v>
      </c>
      <c r="Z224" s="178" t="s">
        <v>116</v>
      </c>
      <c r="AA224" s="178"/>
      <c r="AB224" s="178"/>
      <c r="AC224" s="178" t="s">
        <v>113</v>
      </c>
      <c r="AD224" s="178" t="s">
        <v>114</v>
      </c>
      <c r="AE224" s="178" t="s">
        <v>115</v>
      </c>
      <c r="AF224" s="178" t="s">
        <v>116</v>
      </c>
      <c r="AG224" s="178"/>
      <c r="AH224" s="178"/>
    </row>
    <row r="225" spans="1:34" x14ac:dyDescent="0.2">
      <c r="A225" s="225">
        <v>3.1</v>
      </c>
      <c r="B225" s="524" t="s">
        <v>105</v>
      </c>
      <c r="C225" s="524"/>
      <c r="D225" s="265"/>
      <c r="E225" s="265"/>
      <c r="F225" s="265"/>
      <c r="G225" s="265"/>
      <c r="H225" s="265"/>
      <c r="I225" s="265"/>
      <c r="J225" s="265"/>
      <c r="K225" s="265"/>
      <c r="L225" s="265"/>
      <c r="M225" s="265"/>
      <c r="N225" s="265"/>
      <c r="O225" s="265"/>
      <c r="P225" s="265"/>
      <c r="Q225" s="265"/>
      <c r="R225" s="265"/>
      <c r="S225" s="265"/>
      <c r="T225" s="265"/>
      <c r="U225" s="265"/>
      <c r="V225" s="265"/>
      <c r="W225" s="265"/>
      <c r="X225" s="265"/>
      <c r="Y225" s="265"/>
      <c r="Z225" s="265"/>
      <c r="AA225" s="265"/>
      <c r="AB225" s="265"/>
      <c r="AC225" s="265"/>
      <c r="AD225" s="265"/>
      <c r="AE225" s="265"/>
      <c r="AF225" s="265"/>
      <c r="AG225" s="265"/>
      <c r="AH225" s="40"/>
    </row>
    <row r="226" spans="1:34" ht="20.399999999999999" x14ac:dyDescent="0.2">
      <c r="A226" s="529"/>
      <c r="B226" s="526" t="s">
        <v>45</v>
      </c>
      <c r="C226" s="526"/>
      <c r="D226" s="25" t="s">
        <v>101</v>
      </c>
      <c r="E226" s="181">
        <v>1198</v>
      </c>
      <c r="F226" s="181">
        <v>1203</v>
      </c>
      <c r="G226" s="181">
        <v>1208</v>
      </c>
      <c r="H226" s="181">
        <v>1213</v>
      </c>
      <c r="I226" s="192"/>
      <c r="J226" s="192">
        <v>1213</v>
      </c>
      <c r="K226" s="181">
        <v>1218</v>
      </c>
      <c r="L226" s="181">
        <v>1223</v>
      </c>
      <c r="M226" s="181">
        <v>1228</v>
      </c>
      <c r="N226" s="181">
        <v>1233</v>
      </c>
      <c r="O226" s="192"/>
      <c r="P226" s="192">
        <v>1233</v>
      </c>
      <c r="Q226" s="181">
        <v>1236</v>
      </c>
      <c r="R226" s="181">
        <v>1238</v>
      </c>
      <c r="S226" s="181">
        <v>1241</v>
      </c>
      <c r="T226" s="181">
        <v>1243</v>
      </c>
      <c r="U226" s="181"/>
      <c r="V226" s="192">
        <v>1243</v>
      </c>
      <c r="W226" s="181">
        <v>1246</v>
      </c>
      <c r="X226" s="181">
        <v>1248</v>
      </c>
      <c r="Y226" s="181">
        <v>1251</v>
      </c>
      <c r="Z226" s="181">
        <v>1253</v>
      </c>
      <c r="AA226" s="192"/>
      <c r="AB226" s="245">
        <v>1253</v>
      </c>
      <c r="AC226" s="181">
        <v>1256</v>
      </c>
      <c r="AD226" s="181">
        <v>1258</v>
      </c>
      <c r="AE226" s="181">
        <v>1261</v>
      </c>
      <c r="AF226" s="181">
        <v>1263</v>
      </c>
      <c r="AG226" s="192"/>
      <c r="AH226" s="245">
        <v>1263</v>
      </c>
    </row>
    <row r="227" spans="1:34" ht="20.399999999999999" x14ac:dyDescent="0.2">
      <c r="A227" s="529"/>
      <c r="B227" s="526"/>
      <c r="C227" s="526"/>
      <c r="D227" s="25" t="s">
        <v>32</v>
      </c>
      <c r="E227" s="188">
        <v>30.187999999999999</v>
      </c>
      <c r="F227" s="188">
        <v>30.187999999999999</v>
      </c>
      <c r="G227" s="188">
        <v>30.187999999999999</v>
      </c>
      <c r="H227" s="188">
        <v>30.187999999999999</v>
      </c>
      <c r="I227" s="188"/>
      <c r="J227" s="188">
        <v>30.187999999999999</v>
      </c>
      <c r="K227" s="188">
        <v>30.187999999999999</v>
      </c>
      <c r="L227" s="188">
        <v>30.187999999999999</v>
      </c>
      <c r="M227" s="188">
        <v>30.187999999999999</v>
      </c>
      <c r="N227" s="188">
        <v>30.187999999999999</v>
      </c>
      <c r="O227" s="188"/>
      <c r="P227" s="188">
        <v>30.187999999999999</v>
      </c>
      <c r="Q227" s="188">
        <v>30.187999999999999</v>
      </c>
      <c r="R227" s="188">
        <v>30.187999999999999</v>
      </c>
      <c r="S227" s="188">
        <v>30.187999999999999</v>
      </c>
      <c r="T227" s="188">
        <v>30.187999999999999</v>
      </c>
      <c r="U227" s="196"/>
      <c r="V227" s="188">
        <v>30.187999999999999</v>
      </c>
      <c r="W227" s="188">
        <v>30.187999999999999</v>
      </c>
      <c r="X227" s="188">
        <v>30.187999999999999</v>
      </c>
      <c r="Y227" s="188">
        <v>30.187999999999999</v>
      </c>
      <c r="Z227" s="188">
        <v>30.187999999999999</v>
      </c>
      <c r="AA227" s="188"/>
      <c r="AB227" s="188">
        <v>30.187999999999999</v>
      </c>
      <c r="AC227" s="188">
        <v>30.187999999999999</v>
      </c>
      <c r="AD227" s="188">
        <v>30.187999999999999</v>
      </c>
      <c r="AE227" s="188">
        <v>30.187999999999999</v>
      </c>
      <c r="AF227" s="188">
        <v>30.187999999999999</v>
      </c>
      <c r="AG227" s="188"/>
      <c r="AH227" s="238">
        <f>AB227</f>
        <v>30.187999999999999</v>
      </c>
    </row>
    <row r="228" spans="1:34" ht="20.399999999999999" x14ac:dyDescent="0.2">
      <c r="A228" s="529"/>
      <c r="B228" s="526" t="s">
        <v>46</v>
      </c>
      <c r="C228" s="526"/>
      <c r="D228" s="25" t="s">
        <v>32</v>
      </c>
      <c r="E228" s="188">
        <v>30.187999999999999</v>
      </c>
      <c r="F228" s="188">
        <v>30.187999999999999</v>
      </c>
      <c r="G228" s="188">
        <v>30.187999999999999</v>
      </c>
      <c r="H228" s="188">
        <v>30.187999999999999</v>
      </c>
      <c r="I228" s="188"/>
      <c r="J228" s="188">
        <v>30.187999999999999</v>
      </c>
      <c r="K228" s="188">
        <v>30.187999999999999</v>
      </c>
      <c r="L228" s="188">
        <v>30.187999999999999</v>
      </c>
      <c r="M228" s="188">
        <v>30.187999999999999</v>
      </c>
      <c r="N228" s="188">
        <v>30.187999999999999</v>
      </c>
      <c r="O228" s="188"/>
      <c r="P228" s="188">
        <v>30.187999999999999</v>
      </c>
      <c r="Q228" s="188">
        <v>30.187999999999999</v>
      </c>
      <c r="R228" s="188">
        <v>30.187999999999999</v>
      </c>
      <c r="S228" s="188">
        <v>30.187999999999999</v>
      </c>
      <c r="T228" s="188">
        <v>30.187999999999999</v>
      </c>
      <c r="U228" s="196"/>
      <c r="V228" s="188">
        <v>30.187999999999999</v>
      </c>
      <c r="W228" s="188">
        <v>30.187999999999999</v>
      </c>
      <c r="X228" s="188">
        <v>30.187999999999999</v>
      </c>
      <c r="Y228" s="188">
        <v>30.187999999999999</v>
      </c>
      <c r="Z228" s="188">
        <v>30.187999999999999</v>
      </c>
      <c r="AA228" s="188"/>
      <c r="AB228" s="188">
        <v>30.187999999999999</v>
      </c>
      <c r="AC228" s="188">
        <v>30.187999999999999</v>
      </c>
      <c r="AD228" s="188">
        <v>30.187999999999999</v>
      </c>
      <c r="AE228" s="188">
        <v>30.187999999999999</v>
      </c>
      <c r="AF228" s="188">
        <v>30.187999999999999</v>
      </c>
      <c r="AG228" s="188"/>
      <c r="AH228" s="238">
        <f>AB228</f>
        <v>30.187999999999999</v>
      </c>
    </row>
    <row r="229" spans="1:34" ht="20.399999999999999" x14ac:dyDescent="0.2">
      <c r="A229" s="529"/>
      <c r="B229" s="526"/>
      <c r="C229" s="526"/>
      <c r="D229" s="25" t="s">
        <v>143</v>
      </c>
      <c r="E229" s="198">
        <v>3913.1112499999999</v>
      </c>
      <c r="F229" s="198">
        <v>3916.4475000000002</v>
      </c>
      <c r="G229" s="198">
        <v>3919.7837500000001</v>
      </c>
      <c r="H229" s="198">
        <v>3923.12</v>
      </c>
      <c r="I229" s="192"/>
      <c r="J229" s="192">
        <v>3923.12</v>
      </c>
      <c r="K229" s="198">
        <v>3926.4562500000002</v>
      </c>
      <c r="L229" s="198">
        <v>3929.7925</v>
      </c>
      <c r="M229" s="198">
        <v>3933.1287499999999</v>
      </c>
      <c r="N229" s="198">
        <v>3936.4650000000001</v>
      </c>
      <c r="O229" s="192"/>
      <c r="P229" s="192">
        <v>3936.4650000000001</v>
      </c>
      <c r="Q229" s="198">
        <v>3938.04025</v>
      </c>
      <c r="R229" s="198">
        <v>3939.6154999999999</v>
      </c>
      <c r="S229" s="198">
        <v>3941.1907500000002</v>
      </c>
      <c r="T229" s="198">
        <v>3942.7660000000001</v>
      </c>
      <c r="U229" s="198"/>
      <c r="V229" s="192">
        <v>3942.7660000000001</v>
      </c>
      <c r="W229" s="198">
        <v>3919.9701770000001</v>
      </c>
      <c r="X229" s="198">
        <v>3922.9167849999999</v>
      </c>
      <c r="Y229" s="198">
        <v>3925.8633920000002</v>
      </c>
      <c r="Z229" s="198">
        <v>3928.81</v>
      </c>
      <c r="AA229" s="192"/>
      <c r="AB229" s="192">
        <v>3928.81</v>
      </c>
      <c r="AC229" s="198">
        <v>3899.3666400000002</v>
      </c>
      <c r="AD229" s="198">
        <v>3902.2977599999999</v>
      </c>
      <c r="AE229" s="198">
        <v>3905.2288800000001</v>
      </c>
      <c r="AF229" s="198">
        <v>3908.16</v>
      </c>
      <c r="AG229" s="192"/>
      <c r="AH229" s="192">
        <v>3908.16</v>
      </c>
    </row>
    <row r="230" spans="1:34" ht="20.399999999999999" x14ac:dyDescent="0.2">
      <c r="A230" s="529"/>
      <c r="B230" s="526" t="s">
        <v>47</v>
      </c>
      <c r="C230" s="526"/>
      <c r="D230" s="25" t="s">
        <v>32</v>
      </c>
      <c r="E230" s="197">
        <v>32.619999999999997</v>
      </c>
      <c r="F230" s="197">
        <v>32.619999999999997</v>
      </c>
      <c r="G230" s="197">
        <v>32.619999999999997</v>
      </c>
      <c r="H230" s="197">
        <v>32.619999999999997</v>
      </c>
      <c r="I230" s="192"/>
      <c r="J230" s="188">
        <v>32.619999999999997</v>
      </c>
      <c r="K230" s="188">
        <v>32.619999999999997</v>
      </c>
      <c r="L230" s="188">
        <v>32.619999999999997</v>
      </c>
      <c r="M230" s="188">
        <v>32.619999999999997</v>
      </c>
      <c r="N230" s="188">
        <v>32.619999999999997</v>
      </c>
      <c r="O230" s="188"/>
      <c r="P230" s="188">
        <v>32.619999999999997</v>
      </c>
      <c r="Q230" s="188">
        <v>32.619999999999997</v>
      </c>
      <c r="R230" s="188">
        <v>32.619999999999997</v>
      </c>
      <c r="S230" s="188">
        <v>32.619999999999997</v>
      </c>
      <c r="T230" s="188">
        <v>32.619999999999997</v>
      </c>
      <c r="U230" s="196"/>
      <c r="V230" s="188">
        <v>32.619999999999997</v>
      </c>
      <c r="W230" s="188">
        <v>32.619999999999997</v>
      </c>
      <c r="X230" s="188">
        <v>32.619999999999997</v>
      </c>
      <c r="Y230" s="188">
        <v>32.619999999999997</v>
      </c>
      <c r="Z230" s="188">
        <v>32.619999999999997</v>
      </c>
      <c r="AA230" s="188"/>
      <c r="AB230" s="188">
        <v>32.619999999999997</v>
      </c>
      <c r="AC230" s="188">
        <v>32.619999999999997</v>
      </c>
      <c r="AD230" s="188">
        <v>32.619999999999997</v>
      </c>
      <c r="AE230" s="188">
        <v>32.619999999999997</v>
      </c>
      <c r="AF230" s="188">
        <v>32.619999999999997</v>
      </c>
      <c r="AG230" s="188"/>
      <c r="AH230" s="238">
        <f>AB230</f>
        <v>32.619999999999997</v>
      </c>
    </row>
    <row r="231" spans="1:34" ht="20.399999999999999" x14ac:dyDescent="0.2">
      <c r="A231" s="529"/>
      <c r="B231" s="526"/>
      <c r="C231" s="526"/>
      <c r="D231" s="25" t="s">
        <v>143</v>
      </c>
      <c r="E231" s="198">
        <v>3913.1112499999999</v>
      </c>
      <c r="F231" s="198">
        <v>3916.4475000000002</v>
      </c>
      <c r="G231" s="198">
        <v>3919.7837500000001</v>
      </c>
      <c r="H231" s="198">
        <v>3923.12</v>
      </c>
      <c r="I231" s="192"/>
      <c r="J231" s="192">
        <v>3923.12</v>
      </c>
      <c r="K231" s="198">
        <v>3926.4562500000002</v>
      </c>
      <c r="L231" s="198">
        <v>3929.7925</v>
      </c>
      <c r="M231" s="198">
        <v>3933.1287499999999</v>
      </c>
      <c r="N231" s="198">
        <v>3936.4650000000001</v>
      </c>
      <c r="O231" s="192"/>
      <c r="P231" s="192">
        <v>3936.4650000000001</v>
      </c>
      <c r="Q231" s="198">
        <v>3938.04025</v>
      </c>
      <c r="R231" s="198">
        <v>3939.6154999999999</v>
      </c>
      <c r="S231" s="198">
        <v>3941.1907500000002</v>
      </c>
      <c r="T231" s="198">
        <v>3942.7660000000001</v>
      </c>
      <c r="U231" s="198"/>
      <c r="V231" s="192">
        <v>3942.7660000000001</v>
      </c>
      <c r="W231" s="198">
        <v>3919.9701770000001</v>
      </c>
      <c r="X231" s="198">
        <v>3922.9167849999999</v>
      </c>
      <c r="Y231" s="198">
        <v>3925.8633920000002</v>
      </c>
      <c r="Z231" s="198">
        <v>3928.81</v>
      </c>
      <c r="AA231" s="192"/>
      <c r="AB231" s="192">
        <v>3928.81</v>
      </c>
      <c r="AC231" s="198">
        <v>3899.3666400000002</v>
      </c>
      <c r="AD231" s="198">
        <v>3902.2977599999999</v>
      </c>
      <c r="AE231" s="198">
        <v>3905.2288800000001</v>
      </c>
      <c r="AF231" s="198">
        <v>3908.16</v>
      </c>
      <c r="AG231" s="192"/>
      <c r="AH231" s="192">
        <v>3908.16</v>
      </c>
    </row>
    <row r="232" spans="1:34" x14ac:dyDescent="0.2">
      <c r="A232" s="529"/>
      <c r="B232" s="526" t="s">
        <v>36</v>
      </c>
      <c r="C232" s="526"/>
      <c r="D232" s="25" t="s">
        <v>144</v>
      </c>
      <c r="E232" s="181">
        <v>522</v>
      </c>
      <c r="F232" s="181">
        <v>529</v>
      </c>
      <c r="G232" s="181">
        <v>537</v>
      </c>
      <c r="H232" s="181">
        <v>544</v>
      </c>
      <c r="I232" s="192"/>
      <c r="J232" s="192">
        <v>544</v>
      </c>
      <c r="K232" s="181">
        <v>552</v>
      </c>
      <c r="L232" s="181">
        <v>559</v>
      </c>
      <c r="M232" s="181">
        <v>567</v>
      </c>
      <c r="N232" s="181">
        <v>574</v>
      </c>
      <c r="O232" s="192"/>
      <c r="P232" s="192">
        <v>574</v>
      </c>
      <c r="Q232" s="181">
        <v>584</v>
      </c>
      <c r="R232" s="181">
        <v>594</v>
      </c>
      <c r="S232" s="181">
        <v>604</v>
      </c>
      <c r="T232" s="181">
        <v>614</v>
      </c>
      <c r="U232" s="192"/>
      <c r="V232" s="192">
        <v>614</v>
      </c>
      <c r="W232" s="181">
        <v>649</v>
      </c>
      <c r="X232" s="181">
        <v>684</v>
      </c>
      <c r="Y232" s="181">
        <v>719</v>
      </c>
      <c r="Z232" s="181">
        <v>754</v>
      </c>
      <c r="AA232" s="192"/>
      <c r="AB232" s="192">
        <v>754</v>
      </c>
      <c r="AC232" s="181">
        <v>752</v>
      </c>
      <c r="AD232" s="181">
        <v>753</v>
      </c>
      <c r="AE232" s="181">
        <v>753</v>
      </c>
      <c r="AF232" s="181">
        <v>754</v>
      </c>
      <c r="AG232" s="192"/>
      <c r="AH232" s="192">
        <v>754</v>
      </c>
    </row>
    <row r="233" spans="1:34" ht="20.399999999999999" x14ac:dyDescent="0.2">
      <c r="A233" s="529"/>
      <c r="B233" s="526"/>
      <c r="C233" s="526"/>
      <c r="D233" s="25" t="s">
        <v>32</v>
      </c>
      <c r="E233" s="188">
        <v>10.8</v>
      </c>
      <c r="F233" s="188">
        <v>10.8</v>
      </c>
      <c r="G233" s="188">
        <v>10.8</v>
      </c>
      <c r="H233" s="188">
        <v>10.8</v>
      </c>
      <c r="I233" s="192"/>
      <c r="J233" s="188">
        <v>10.8</v>
      </c>
      <c r="K233" s="188">
        <v>10.8</v>
      </c>
      <c r="L233" s="188">
        <v>10.8</v>
      </c>
      <c r="M233" s="188">
        <v>10.8</v>
      </c>
      <c r="N233" s="188">
        <v>10.8</v>
      </c>
      <c r="O233" s="192"/>
      <c r="P233" s="188">
        <v>10.8</v>
      </c>
      <c r="Q233" s="188">
        <v>10.8</v>
      </c>
      <c r="R233" s="188">
        <v>10.8</v>
      </c>
      <c r="S233" s="188">
        <v>10.8</v>
      </c>
      <c r="T233" s="188">
        <v>10.8</v>
      </c>
      <c r="U233" s="192"/>
      <c r="V233" s="188">
        <v>10.8</v>
      </c>
      <c r="W233" s="181">
        <v>20.260000000000002</v>
      </c>
      <c r="X233" s="181">
        <v>20.260000000000002</v>
      </c>
      <c r="Y233" s="181">
        <v>20.260000000000002</v>
      </c>
      <c r="Z233" s="181">
        <v>20.260000000000002</v>
      </c>
      <c r="AA233" s="192"/>
      <c r="AB233" s="188">
        <f>10.8+6.348+2.774+0.336</f>
        <v>20.257999999999999</v>
      </c>
      <c r="AC233" s="188">
        <f>10.8+6.348+2.774+0.336</f>
        <v>20.257999999999999</v>
      </c>
      <c r="AD233" s="188">
        <f>10.8+6.348+2.774+0.336</f>
        <v>20.257999999999999</v>
      </c>
      <c r="AE233" s="188">
        <f>10.8+6.348+2.774+0.336</f>
        <v>20.257999999999999</v>
      </c>
      <c r="AF233" s="188">
        <f>10.8+6.348+2.774+0.336</f>
        <v>20.257999999999999</v>
      </c>
      <c r="AG233" s="192"/>
      <c r="AH233" s="188">
        <f>AB233</f>
        <v>20.257999999999999</v>
      </c>
    </row>
    <row r="234" spans="1:34" x14ac:dyDescent="0.2">
      <c r="A234" s="529"/>
      <c r="B234" s="526" t="s">
        <v>48</v>
      </c>
      <c r="C234" s="526"/>
      <c r="D234" s="24" t="s">
        <v>143</v>
      </c>
      <c r="E234" s="192">
        <v>1105.7125000000001</v>
      </c>
      <c r="F234" s="192">
        <v>1188.075</v>
      </c>
      <c r="G234" s="192">
        <v>1270.4375</v>
      </c>
      <c r="H234" s="192">
        <v>1352.8</v>
      </c>
      <c r="I234" s="192"/>
      <c r="J234" s="198">
        <v>1352.8</v>
      </c>
      <c r="K234" s="198">
        <v>1435.1624999999999</v>
      </c>
      <c r="L234" s="198">
        <v>1517.5250000000001</v>
      </c>
      <c r="M234" s="198">
        <v>1599.8875</v>
      </c>
      <c r="N234" s="198">
        <v>1682.25</v>
      </c>
      <c r="O234" s="192"/>
      <c r="P234" s="192">
        <v>1682.25</v>
      </c>
      <c r="Q234" s="198">
        <v>1763.7375</v>
      </c>
      <c r="R234" s="198">
        <v>1845.2249999999999</v>
      </c>
      <c r="S234" s="198">
        <v>1926.7125000000001</v>
      </c>
      <c r="T234" s="198">
        <v>2008.2</v>
      </c>
      <c r="U234" s="192"/>
      <c r="V234" s="192">
        <v>2008.2</v>
      </c>
      <c r="W234" s="198">
        <v>2421.7624999999998</v>
      </c>
      <c r="X234" s="198">
        <v>2835.3249999999998</v>
      </c>
      <c r="Y234" s="198">
        <v>3248.8874999999998</v>
      </c>
      <c r="Z234" s="198">
        <v>3662.45</v>
      </c>
      <c r="AA234" s="192"/>
      <c r="AB234" s="192">
        <v>3662.45</v>
      </c>
      <c r="AC234" s="198">
        <v>3723.8775000000001</v>
      </c>
      <c r="AD234" s="198">
        <v>3785.3049999999998</v>
      </c>
      <c r="AE234" s="198">
        <v>3846.7325000000001</v>
      </c>
      <c r="AF234" s="198">
        <v>3908.16</v>
      </c>
      <c r="AG234" s="192"/>
      <c r="AH234" s="192">
        <v>3908.16</v>
      </c>
    </row>
    <row r="235" spans="1:34" x14ac:dyDescent="0.2">
      <c r="A235" s="529"/>
      <c r="B235" s="526"/>
      <c r="C235" s="526"/>
      <c r="D235" s="24" t="s">
        <v>143</v>
      </c>
      <c r="E235" s="198">
        <f>6799-35</f>
        <v>6764</v>
      </c>
      <c r="F235" s="198">
        <f>6799-35</f>
        <v>6764</v>
      </c>
      <c r="G235" s="198">
        <f>6799-35</f>
        <v>6764</v>
      </c>
      <c r="H235" s="198">
        <f>6799-35</f>
        <v>6764</v>
      </c>
      <c r="I235" s="192"/>
      <c r="J235" s="198">
        <f>6799-35</f>
        <v>6764</v>
      </c>
      <c r="K235" s="192">
        <f>E235-35</f>
        <v>6729</v>
      </c>
      <c r="L235" s="192">
        <f>F235-35</f>
        <v>6729</v>
      </c>
      <c r="M235" s="192">
        <f>G235-35</f>
        <v>6729</v>
      </c>
      <c r="N235" s="192">
        <f>H235-35</f>
        <v>6729</v>
      </c>
      <c r="O235" s="192"/>
      <c r="P235" s="192">
        <f>J235-35</f>
        <v>6729</v>
      </c>
      <c r="Q235" s="192">
        <f>K235-35</f>
        <v>6694</v>
      </c>
      <c r="R235" s="192">
        <f>L235-35</f>
        <v>6694</v>
      </c>
      <c r="S235" s="192">
        <f>M235-35</f>
        <v>6694</v>
      </c>
      <c r="T235" s="192">
        <f>N235-35</f>
        <v>6694</v>
      </c>
      <c r="U235" s="192"/>
      <c r="V235" s="192">
        <f>P235-35</f>
        <v>6694</v>
      </c>
      <c r="W235" s="192">
        <f>Q235-35</f>
        <v>6659</v>
      </c>
      <c r="X235" s="192">
        <f>R235-35</f>
        <v>6659</v>
      </c>
      <c r="Y235" s="192">
        <f>S235-35</f>
        <v>6659</v>
      </c>
      <c r="Z235" s="192">
        <f>T235-35</f>
        <v>6659</v>
      </c>
      <c r="AA235" s="192"/>
      <c r="AB235" s="192">
        <f>V235-35</f>
        <v>6659</v>
      </c>
      <c r="AC235" s="192">
        <f>W235-35</f>
        <v>6624</v>
      </c>
      <c r="AD235" s="192">
        <f>X235-35</f>
        <v>6624</v>
      </c>
      <c r="AE235" s="192">
        <f>Y235-35</f>
        <v>6624</v>
      </c>
      <c r="AF235" s="192">
        <f>Z235-35</f>
        <v>6624</v>
      </c>
      <c r="AG235" s="192"/>
      <c r="AH235" s="192">
        <f>AB235-35</f>
        <v>6624</v>
      </c>
    </row>
    <row r="236" spans="1:34" x14ac:dyDescent="0.2">
      <c r="A236" s="225">
        <v>3.2</v>
      </c>
      <c r="B236" s="541" t="s">
        <v>37</v>
      </c>
      <c r="C236" s="541"/>
      <c r="D236" s="265"/>
      <c r="E236" s="265"/>
      <c r="F236" s="265"/>
      <c r="G236" s="265"/>
      <c r="H236" s="265"/>
      <c r="I236" s="265"/>
      <c r="J236" s="265"/>
      <c r="K236" s="265"/>
      <c r="L236" s="265"/>
      <c r="M236" s="265"/>
      <c r="N236" s="265"/>
      <c r="O236" s="265"/>
      <c r="P236" s="265"/>
      <c r="Q236" s="265"/>
      <c r="R236" s="265"/>
      <c r="S236" s="265"/>
      <c r="T236" s="265"/>
      <c r="U236" s="265"/>
      <c r="V236" s="265"/>
      <c r="W236" s="265"/>
      <c r="X236" s="265"/>
      <c r="Y236" s="265"/>
      <c r="Z236" s="265"/>
      <c r="AA236" s="265"/>
      <c r="AB236" s="265"/>
      <c r="AC236" s="265"/>
      <c r="AD236" s="265"/>
      <c r="AE236" s="265"/>
      <c r="AF236" s="265"/>
      <c r="AG236" s="265"/>
      <c r="AH236" s="265"/>
    </row>
    <row r="237" spans="1:34" ht="15.75" customHeight="1" x14ac:dyDescent="0.2">
      <c r="A237" s="527"/>
      <c r="B237" s="526" t="s">
        <v>102</v>
      </c>
      <c r="C237" s="235"/>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234"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28"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87"/>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28"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87"/>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525" t="s">
        <v>103</v>
      </c>
      <c r="C243" s="528"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525"/>
      <c r="C244" s="287"/>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525"/>
      <c r="C245" s="528"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525"/>
      <c r="C246" s="287"/>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525"/>
      <c r="C247" s="287"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525"/>
      <c r="C248" s="287"/>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526" t="s">
        <v>49</v>
      </c>
      <c r="C249" s="526"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526"/>
      <c r="C250" s="526"/>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526"/>
      <c r="C251" s="526"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526"/>
      <c r="C252" s="526"/>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526"/>
      <c r="C253" s="526"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526"/>
      <c r="C254" s="526"/>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174"/>
      <c r="B256" s="165"/>
      <c r="C256" s="175"/>
      <c r="D256" s="9"/>
    </row>
    <row r="257" spans="2:2" x14ac:dyDescent="0.2">
      <c r="B257" s="240"/>
    </row>
    <row r="259" spans="2:2" x14ac:dyDescent="0.2">
      <c r="B259" s="220"/>
    </row>
  </sheetData>
  <mergeCells count="2949">
    <mergeCell ref="AB253:AB254"/>
    <mergeCell ref="AH253:AH254"/>
    <mergeCell ref="AH249:AH250"/>
    <mergeCell ref="J251:J252"/>
    <mergeCell ref="B212:AH212"/>
    <mergeCell ref="O3:O5"/>
    <mergeCell ref="J249:J250"/>
    <mergeCell ref="P249:P250"/>
    <mergeCell ref="V249:V250"/>
    <mergeCell ref="AB249:AB250"/>
    <mergeCell ref="P247:P248"/>
    <mergeCell ref="V247:V248"/>
    <mergeCell ref="AB247:AB248"/>
    <mergeCell ref="J210:J211"/>
    <mergeCell ref="B73:AH73"/>
    <mergeCell ref="P251:P252"/>
    <mergeCell ref="V251:V252"/>
    <mergeCell ref="AB251:AB252"/>
    <mergeCell ref="AH251:AH252"/>
    <mergeCell ref="J245:J246"/>
    <mergeCell ref="P245:P246"/>
    <mergeCell ref="V245:V246"/>
    <mergeCell ref="AH245:AH246"/>
    <mergeCell ref="J247:J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41:AD242"/>
    <mergeCell ref="AE241:AE242"/>
    <mergeCell ref="AF241:AF242"/>
    <mergeCell ref="AD243:AD244"/>
    <mergeCell ref="AE243:AE244"/>
    <mergeCell ref="AF243:AF244"/>
    <mergeCell ref="AD245:AD246"/>
    <mergeCell ref="AE245:AE246"/>
    <mergeCell ref="V217:V218"/>
    <mergeCell ref="AB217:AB218"/>
    <mergeCell ref="AH217:AH218"/>
    <mergeCell ref="Y237:Y238"/>
    <mergeCell ref="Z237:Z238"/>
    <mergeCell ref="AC237:AC238"/>
    <mergeCell ref="AD237:AD238"/>
    <mergeCell ref="G222:H222"/>
    <mergeCell ref="M222:N222"/>
    <mergeCell ref="S222:T222"/>
    <mergeCell ref="Y222:Z222"/>
    <mergeCell ref="AE222:AF222"/>
    <mergeCell ref="AH213:AH214"/>
    <mergeCell ref="M213:M214"/>
    <mergeCell ref="N213:N214"/>
    <mergeCell ref="M217:M218"/>
    <mergeCell ref="N217:N218"/>
    <mergeCell ref="W217:W218"/>
    <mergeCell ref="X217:X218"/>
    <mergeCell ref="AF215:AF216"/>
    <mergeCell ref="AC217:AC218"/>
    <mergeCell ref="AD217:AD218"/>
    <mergeCell ref="AE217:AE218"/>
    <mergeCell ref="AF217:AF218"/>
    <mergeCell ref="Y217:Y218"/>
    <mergeCell ref="Z217:Z218"/>
    <mergeCell ref="AH215:AH216"/>
    <mergeCell ref="M215:M216"/>
    <mergeCell ref="N215:N216"/>
    <mergeCell ref="D213:D214"/>
    <mergeCell ref="J213:J214"/>
    <mergeCell ref="P213:P214"/>
    <mergeCell ref="V213:V214"/>
    <mergeCell ref="AB213:AB214"/>
    <mergeCell ref="J206:J207"/>
    <mergeCell ref="P206:P207"/>
    <mergeCell ref="V206:V207"/>
    <mergeCell ref="AB206:AB207"/>
    <mergeCell ref="E210:E211"/>
    <mergeCell ref="AH206:AH207"/>
    <mergeCell ref="J208:J209"/>
    <mergeCell ref="P208:P209"/>
    <mergeCell ref="V208:V209"/>
    <mergeCell ref="AB208:AB209"/>
    <mergeCell ref="AH208:AH209"/>
    <mergeCell ref="L208:L209"/>
    <mergeCell ref="M208:M209"/>
    <mergeCell ref="N208:N209"/>
    <mergeCell ref="Q208:Q209"/>
    <mergeCell ref="H210:H211"/>
    <mergeCell ref="K208:K209"/>
    <mergeCell ref="Q206:Q207"/>
    <mergeCell ref="R206:R207"/>
    <mergeCell ref="P210:P211"/>
    <mergeCell ref="V210:V211"/>
    <mergeCell ref="AB210:AB211"/>
    <mergeCell ref="AH210:AH211"/>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K202:K203"/>
    <mergeCell ref="L202:L203"/>
    <mergeCell ref="M202:M203"/>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K196:K197"/>
    <mergeCell ref="L196:L197"/>
    <mergeCell ref="M196:M197"/>
    <mergeCell ref="N196:N197"/>
    <mergeCell ref="K198:K199"/>
    <mergeCell ref="L198:L199"/>
    <mergeCell ref="B195:AH195"/>
    <mergeCell ref="B194:AH194"/>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R185:R186"/>
    <mergeCell ref="S185:S186"/>
    <mergeCell ref="T185:T186"/>
    <mergeCell ref="W185:W186"/>
    <mergeCell ref="X185:X186"/>
    <mergeCell ref="Y185:Y186"/>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D179:AD180"/>
    <mergeCell ref="AE179:AE180"/>
    <mergeCell ref="AF179:AF18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9:AD160"/>
    <mergeCell ref="AE159:AE160"/>
    <mergeCell ref="AF159:AF160"/>
    <mergeCell ref="AD161:AD162"/>
    <mergeCell ref="AE161:AE162"/>
    <mergeCell ref="AF161:AF162"/>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AA148:AA149"/>
    <mergeCell ref="AC148:AC149"/>
    <mergeCell ref="AD148:AD149"/>
    <mergeCell ref="AE148:AE149"/>
    <mergeCell ref="AF148:AF149"/>
    <mergeCell ref="AG148:AG149"/>
    <mergeCell ref="Y150:Y151"/>
    <mergeCell ref="Z150:Z151"/>
    <mergeCell ref="AA150:AA151"/>
    <mergeCell ref="AC150:AC151"/>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AG137:AG138"/>
    <mergeCell ref="Y139:Y140"/>
    <mergeCell ref="Z139:Z140"/>
    <mergeCell ref="AA139:AA140"/>
    <mergeCell ref="AC139:AC140"/>
    <mergeCell ref="AD139:AD140"/>
    <mergeCell ref="AE139:AE140"/>
    <mergeCell ref="AF139:AF140"/>
    <mergeCell ref="AG139:AG140"/>
    <mergeCell ref="Y141:Y142"/>
    <mergeCell ref="Z141:Z142"/>
    <mergeCell ref="AA141:AA142"/>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Y129:Y130"/>
    <mergeCell ref="Z129:Z130"/>
    <mergeCell ref="AA129:AA130"/>
    <mergeCell ref="AC129:AC130"/>
    <mergeCell ref="AD129:AD130"/>
    <mergeCell ref="AE129:AE130"/>
    <mergeCell ref="AF129:AF130"/>
    <mergeCell ref="AG129:AG130"/>
    <mergeCell ref="Y131:Y132"/>
    <mergeCell ref="Z131:Z132"/>
    <mergeCell ref="AA131:AA132"/>
    <mergeCell ref="AC131:AC132"/>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B124:AH124"/>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AD110:AD111"/>
    <mergeCell ref="AE110:AE111"/>
    <mergeCell ref="AF110:AF111"/>
    <mergeCell ref="AD112:AD113"/>
    <mergeCell ref="AE112:AE113"/>
    <mergeCell ref="AF112:AF113"/>
    <mergeCell ref="AD114:AD115"/>
    <mergeCell ref="AE114:AE115"/>
    <mergeCell ref="AF114:AF115"/>
    <mergeCell ref="AD116:AD117"/>
    <mergeCell ref="AE116:AE117"/>
    <mergeCell ref="AF116:AF117"/>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AD102:AD103"/>
    <mergeCell ref="AE102:AE103"/>
    <mergeCell ref="AF102:AF103"/>
    <mergeCell ref="AD104:AD105"/>
    <mergeCell ref="AE104:AE105"/>
    <mergeCell ref="AF104:AF105"/>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AD87:AD88"/>
    <mergeCell ref="AE87:AE88"/>
    <mergeCell ref="AF87:AF88"/>
    <mergeCell ref="AD89:AD90"/>
    <mergeCell ref="AE89:AE90"/>
    <mergeCell ref="AF89:AF90"/>
    <mergeCell ref="AD91:AD92"/>
    <mergeCell ref="AE91:AE92"/>
    <mergeCell ref="AF91:AF92"/>
    <mergeCell ref="J78:J79"/>
    <mergeCell ref="P78:P79"/>
    <mergeCell ref="V78:V79"/>
    <mergeCell ref="AB78:AB79"/>
    <mergeCell ref="AH78:AH79"/>
    <mergeCell ref="J83:J84"/>
    <mergeCell ref="P83:P84"/>
    <mergeCell ref="V83:V84"/>
    <mergeCell ref="AB83:AB84"/>
    <mergeCell ref="AH83:AH84"/>
    <mergeCell ref="D74:D75"/>
    <mergeCell ref="J74:J75"/>
    <mergeCell ref="P74:P75"/>
    <mergeCell ref="V74:V75"/>
    <mergeCell ref="AB74:AB75"/>
    <mergeCell ref="AH74:AH75"/>
    <mergeCell ref="Q74:Q75"/>
    <mergeCell ref="R74:R75"/>
    <mergeCell ref="S74:S75"/>
    <mergeCell ref="T74:T75"/>
    <mergeCell ref="E74:E75"/>
    <mergeCell ref="F74:F75"/>
    <mergeCell ref="G74:G75"/>
    <mergeCell ref="H74:H75"/>
    <mergeCell ref="K74:K75"/>
    <mergeCell ref="L74:L75"/>
    <mergeCell ref="M74:M75"/>
    <mergeCell ref="N74:N75"/>
    <mergeCell ref="W74:W75"/>
    <mergeCell ref="X74:X75"/>
    <mergeCell ref="Y74:Y75"/>
    <mergeCell ref="Z74:Z75"/>
    <mergeCell ref="D71:D72"/>
    <mergeCell ref="J71:J72"/>
    <mergeCell ref="P71:P72"/>
    <mergeCell ref="V71:V72"/>
    <mergeCell ref="AB71:AB72"/>
    <mergeCell ref="AH71:AH72"/>
    <mergeCell ref="Q71:Q72"/>
    <mergeCell ref="R71:R72"/>
    <mergeCell ref="S71:S72"/>
    <mergeCell ref="T71:T72"/>
    <mergeCell ref="D69:D70"/>
    <mergeCell ref="J69:J70"/>
    <mergeCell ref="P69:P70"/>
    <mergeCell ref="V69:V70"/>
    <mergeCell ref="AB69:AB70"/>
    <mergeCell ref="AH69:AH70"/>
    <mergeCell ref="Q69:Q70"/>
    <mergeCell ref="R69:R70"/>
    <mergeCell ref="S69:S70"/>
    <mergeCell ref="T69:T70"/>
    <mergeCell ref="E69:E70"/>
    <mergeCell ref="F69:F70"/>
    <mergeCell ref="G69:G70"/>
    <mergeCell ref="H69:H70"/>
    <mergeCell ref="K69:K70"/>
    <mergeCell ref="L69:L70"/>
    <mergeCell ref="M69:M70"/>
    <mergeCell ref="N69:N70"/>
    <mergeCell ref="W69:W70"/>
    <mergeCell ref="X69:X70"/>
    <mergeCell ref="Y69:Y70"/>
    <mergeCell ref="Z69:Z70"/>
    <mergeCell ref="D67:D68"/>
    <mergeCell ref="J67:J68"/>
    <mergeCell ref="P67:P68"/>
    <mergeCell ref="V67:V68"/>
    <mergeCell ref="AB67:AB68"/>
    <mergeCell ref="AH67:AH68"/>
    <mergeCell ref="Q67:Q68"/>
    <mergeCell ref="R67:R68"/>
    <mergeCell ref="S67:S68"/>
    <mergeCell ref="T67:T68"/>
    <mergeCell ref="D65:D66"/>
    <mergeCell ref="J65:J66"/>
    <mergeCell ref="P65:P66"/>
    <mergeCell ref="V65:V66"/>
    <mergeCell ref="AB65:AB66"/>
    <mergeCell ref="AH65:AH66"/>
    <mergeCell ref="Q65:Q66"/>
    <mergeCell ref="R65:R66"/>
    <mergeCell ref="S65:S66"/>
    <mergeCell ref="T65:T66"/>
    <mergeCell ref="E65:E66"/>
    <mergeCell ref="F65:F66"/>
    <mergeCell ref="G65:G66"/>
    <mergeCell ref="H65:H66"/>
    <mergeCell ref="K65:K66"/>
    <mergeCell ref="L65:L66"/>
    <mergeCell ref="M65:M66"/>
    <mergeCell ref="N65:N66"/>
    <mergeCell ref="W65:W66"/>
    <mergeCell ref="X65:X66"/>
    <mergeCell ref="Y65:Y66"/>
    <mergeCell ref="Z65:Z66"/>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L56:L57"/>
    <mergeCell ref="M56:M57"/>
    <mergeCell ref="N56:N57"/>
    <mergeCell ref="E61:E62"/>
    <mergeCell ref="F61:F62"/>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E50:E51"/>
    <mergeCell ref="F50:F51"/>
    <mergeCell ref="G50:G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S42:S43"/>
    <mergeCell ref="T42:T43"/>
    <mergeCell ref="W42:W43"/>
    <mergeCell ref="AH35:AH36"/>
    <mergeCell ref="D37:D38"/>
    <mergeCell ref="J37:J38"/>
    <mergeCell ref="O37:O38"/>
    <mergeCell ref="P37:P38"/>
    <mergeCell ref="V37:V38"/>
    <mergeCell ref="AB37:AB38"/>
    <mergeCell ref="AH37:AH38"/>
    <mergeCell ref="D35:D36"/>
    <mergeCell ref="I35:I36"/>
    <mergeCell ref="J35:J36"/>
    <mergeCell ref="O35:O36"/>
    <mergeCell ref="P35:P36"/>
    <mergeCell ref="V35:V36"/>
    <mergeCell ref="AB31:AB32"/>
    <mergeCell ref="I31:I32"/>
    <mergeCell ref="J31:J32"/>
    <mergeCell ref="O31:O32"/>
    <mergeCell ref="P31:P32"/>
    <mergeCell ref="AH31:AH32"/>
    <mergeCell ref="D33:D34"/>
    <mergeCell ref="I33:I34"/>
    <mergeCell ref="J33:J34"/>
    <mergeCell ref="O33:O34"/>
    <mergeCell ref="P33:P34"/>
    <mergeCell ref="V33:V34"/>
    <mergeCell ref="AB33:AB34"/>
    <mergeCell ref="AH33:AH34"/>
    <mergeCell ref="D31:D32"/>
    <mergeCell ref="E33:E34"/>
    <mergeCell ref="F33:F34"/>
    <mergeCell ref="G33:G34"/>
    <mergeCell ref="G27:G28"/>
    <mergeCell ref="V31:V32"/>
    <mergeCell ref="AB27:AB28"/>
    <mergeCell ref="AH27:AH28"/>
    <mergeCell ref="D29:D30"/>
    <mergeCell ref="I29:I30"/>
    <mergeCell ref="J29:J30"/>
    <mergeCell ref="O29:O30"/>
    <mergeCell ref="P29:P30"/>
    <mergeCell ref="V29:V30"/>
    <mergeCell ref="AH25:AH26"/>
    <mergeCell ref="AH29:AH30"/>
    <mergeCell ref="D27:D28"/>
    <mergeCell ref="I27:I28"/>
    <mergeCell ref="J27:J28"/>
    <mergeCell ref="O27:O28"/>
    <mergeCell ref="P27:P28"/>
    <mergeCell ref="V27:V28"/>
    <mergeCell ref="E27:E28"/>
    <mergeCell ref="F27:F28"/>
    <mergeCell ref="E25:E26"/>
    <mergeCell ref="F25:F26"/>
    <mergeCell ref="G25:G26"/>
    <mergeCell ref="H25:H26"/>
    <mergeCell ref="K25:K26"/>
    <mergeCell ref="L25:L26"/>
    <mergeCell ref="M25:M26"/>
    <mergeCell ref="N25:N26"/>
    <mergeCell ref="Q25:Q26"/>
    <mergeCell ref="R25:R26"/>
    <mergeCell ref="S25:S26"/>
    <mergeCell ref="T25:T26"/>
    <mergeCell ref="AB23:AB24"/>
    <mergeCell ref="AH23:AH24"/>
    <mergeCell ref="D25:D26"/>
    <mergeCell ref="I25:I26"/>
    <mergeCell ref="J25:J26"/>
    <mergeCell ref="O25:O26"/>
    <mergeCell ref="P25:P26"/>
    <mergeCell ref="V25:V26"/>
    <mergeCell ref="AB25:AB26"/>
    <mergeCell ref="AH21:AH22"/>
    <mergeCell ref="D23:D24"/>
    <mergeCell ref="I23:I24"/>
    <mergeCell ref="J23:J24"/>
    <mergeCell ref="O23:O24"/>
    <mergeCell ref="P23:P24"/>
    <mergeCell ref="V23:V24"/>
    <mergeCell ref="Q23:Q24"/>
    <mergeCell ref="R23:R24"/>
    <mergeCell ref="S23:S24"/>
    <mergeCell ref="E21:E22"/>
    <mergeCell ref="F21:F22"/>
    <mergeCell ref="G21:G22"/>
    <mergeCell ref="H21:H22"/>
    <mergeCell ref="K21:K22"/>
    <mergeCell ref="L21:L22"/>
    <mergeCell ref="M21:M22"/>
    <mergeCell ref="N21:N22"/>
    <mergeCell ref="Q21:Q22"/>
    <mergeCell ref="R21:R22"/>
    <mergeCell ref="S21:S22"/>
    <mergeCell ref="T21:T22"/>
    <mergeCell ref="AH17:AH18"/>
    <mergeCell ref="I15:I16"/>
    <mergeCell ref="D19:D20"/>
    <mergeCell ref="I19:I20"/>
    <mergeCell ref="J19:J20"/>
    <mergeCell ref="O19:O20"/>
    <mergeCell ref="P19:P20"/>
    <mergeCell ref="V19:V20"/>
    <mergeCell ref="E19:E20"/>
    <mergeCell ref="F19:F20"/>
    <mergeCell ref="E15:E16"/>
    <mergeCell ref="F15:F16"/>
    <mergeCell ref="G15:G16"/>
    <mergeCell ref="H15:H16"/>
    <mergeCell ref="K15:K16"/>
    <mergeCell ref="L15:L16"/>
    <mergeCell ref="M15:M16"/>
    <mergeCell ref="N15:N16"/>
    <mergeCell ref="Q15:Q16"/>
    <mergeCell ref="R15:R16"/>
    <mergeCell ref="S15:S16"/>
    <mergeCell ref="T15:T16"/>
    <mergeCell ref="Y5:Y6"/>
    <mergeCell ref="E10:I10"/>
    <mergeCell ref="K10:P10"/>
    <mergeCell ref="Q10:V10"/>
    <mergeCell ref="W10:AA10"/>
    <mergeCell ref="J15:J16"/>
    <mergeCell ref="O15:O16"/>
    <mergeCell ref="P15:P16"/>
    <mergeCell ref="V15:V16"/>
    <mergeCell ref="N3:N5"/>
    <mergeCell ref="B190:C191"/>
    <mergeCell ref="C171:C172"/>
    <mergeCell ref="B143:B145"/>
    <mergeCell ref="B146:B151"/>
    <mergeCell ref="C173:C174"/>
    <mergeCell ref="AC11:AG11"/>
    <mergeCell ref="AB15:AB16"/>
    <mergeCell ref="D17:D18"/>
    <mergeCell ref="I17:I18"/>
    <mergeCell ref="J17:J18"/>
    <mergeCell ref="A4:C4"/>
    <mergeCell ref="A7:C7"/>
    <mergeCell ref="A5:B5"/>
    <mergeCell ref="A6:B6"/>
    <mergeCell ref="C27:C28"/>
    <mergeCell ref="C17:C18"/>
    <mergeCell ref="G19:G20"/>
    <mergeCell ref="H19:H20"/>
    <mergeCell ref="AB19:AB20"/>
    <mergeCell ref="D21:D22"/>
    <mergeCell ref="I21:I22"/>
    <mergeCell ref="J21:J22"/>
    <mergeCell ref="A8:V8"/>
    <mergeCell ref="B27:B32"/>
    <mergeCell ref="B21:B26"/>
    <mergeCell ref="C23:C24"/>
    <mergeCell ref="C15:C16"/>
    <mergeCell ref="B230:C231"/>
    <mergeCell ref="B83:B88"/>
    <mergeCell ref="C48:C49"/>
    <mergeCell ref="C50:C51"/>
    <mergeCell ref="D15:D16"/>
    <mergeCell ref="C21:C22"/>
    <mergeCell ref="C25:C26"/>
    <mergeCell ref="B15:B20"/>
    <mergeCell ref="B108:C108"/>
    <mergeCell ref="C157:C158"/>
    <mergeCell ref="C146:C147"/>
    <mergeCell ref="C122:C123"/>
    <mergeCell ref="C155:C156"/>
    <mergeCell ref="B58:AH58"/>
    <mergeCell ref="B39:AH39"/>
    <mergeCell ref="A222:A223"/>
    <mergeCell ref="A213:A218"/>
    <mergeCell ref="AC10:AG10"/>
    <mergeCell ref="E11:J11"/>
    <mergeCell ref="K11:O11"/>
    <mergeCell ref="Q11:U11"/>
    <mergeCell ref="W11:AA11"/>
    <mergeCell ref="AH15:AH16"/>
    <mergeCell ref="AH19:AH20"/>
    <mergeCell ref="O21:O22"/>
    <mergeCell ref="P21:P22"/>
    <mergeCell ref="V21:V22"/>
    <mergeCell ref="C139:C140"/>
    <mergeCell ref="B192:C193"/>
    <mergeCell ref="B171:B176"/>
    <mergeCell ref="B137:B142"/>
    <mergeCell ref="C177:C178"/>
    <mergeCell ref="C163:C164"/>
    <mergeCell ref="C159:C160"/>
    <mergeCell ref="B153:B158"/>
    <mergeCell ref="B183:B188"/>
    <mergeCell ref="C35:C36"/>
    <mergeCell ref="C37:C38"/>
    <mergeCell ref="C52:C53"/>
    <mergeCell ref="B118:B123"/>
    <mergeCell ref="C104:C105"/>
    <mergeCell ref="C127:C128"/>
    <mergeCell ref="C129:C130"/>
    <mergeCell ref="B196:C197"/>
    <mergeCell ref="C89:C90"/>
    <mergeCell ref="B89:B94"/>
    <mergeCell ref="C91:C92"/>
    <mergeCell ref="B71:C72"/>
    <mergeCell ref="C181:C182"/>
    <mergeCell ref="B177:B182"/>
    <mergeCell ref="C161:C162"/>
    <mergeCell ref="C185:C186"/>
    <mergeCell ref="C169:C170"/>
    <mergeCell ref="C167:C168"/>
    <mergeCell ref="B95:C95"/>
    <mergeCell ref="B189:AH189"/>
    <mergeCell ref="B80:AH80"/>
    <mergeCell ref="A153:A188"/>
    <mergeCell ref="B217:C218"/>
    <mergeCell ref="B208:C209"/>
    <mergeCell ref="C165:C166"/>
    <mergeCell ref="B159:B164"/>
    <mergeCell ref="C153:C154"/>
    <mergeCell ref="C206:C207"/>
    <mergeCell ref="B210:C211"/>
    <mergeCell ref="B198:C199"/>
    <mergeCell ref="B131:B136"/>
    <mergeCell ref="C131:C132"/>
    <mergeCell ref="C133:C134"/>
    <mergeCell ref="C135:C136"/>
    <mergeCell ref="B152:C152"/>
    <mergeCell ref="B165:B170"/>
    <mergeCell ref="C183:C184"/>
    <mergeCell ref="A109:A123"/>
    <mergeCell ref="A125:A151"/>
    <mergeCell ref="C137:C138"/>
    <mergeCell ref="A190:A193"/>
    <mergeCell ref="C204:C205"/>
    <mergeCell ref="B109:C109"/>
    <mergeCell ref="C148:C149"/>
    <mergeCell ref="C150:C151"/>
    <mergeCell ref="C141:C142"/>
    <mergeCell ref="A196:A211"/>
    <mergeCell ref="C114:C115"/>
    <mergeCell ref="C125:C126"/>
    <mergeCell ref="C175:C176"/>
    <mergeCell ref="B125:B130"/>
    <mergeCell ref="C187:C188"/>
    <mergeCell ref="C179:C180"/>
    <mergeCell ref="A82:A107"/>
    <mergeCell ref="C85:C86"/>
    <mergeCell ref="C93:C94"/>
    <mergeCell ref="B102:B107"/>
    <mergeCell ref="C102:C103"/>
    <mergeCell ref="C100:C101"/>
    <mergeCell ref="A74:A79"/>
    <mergeCell ref="B74:C75"/>
    <mergeCell ref="B76:C76"/>
    <mergeCell ref="B77:C77"/>
    <mergeCell ref="B78:C79"/>
    <mergeCell ref="A40:A57"/>
    <mergeCell ref="C46:C47"/>
    <mergeCell ref="C44:C45"/>
    <mergeCell ref="C40:C41"/>
    <mergeCell ref="C42:C43"/>
    <mergeCell ref="B40:B45"/>
    <mergeCell ref="C54:C55"/>
    <mergeCell ref="A59:A72"/>
    <mergeCell ref="C31:C32"/>
    <mergeCell ref="C29:C30"/>
    <mergeCell ref="A2:L2"/>
    <mergeCell ref="A3:J3"/>
    <mergeCell ref="C87:C88"/>
    <mergeCell ref="B63:C64"/>
    <mergeCell ref="B67:C68"/>
    <mergeCell ref="B65:C66"/>
    <mergeCell ref="B10:B12"/>
    <mergeCell ref="C10:C12"/>
    <mergeCell ref="B61:C62"/>
    <mergeCell ref="C19:C20"/>
    <mergeCell ref="C33:C34"/>
    <mergeCell ref="B69:C70"/>
    <mergeCell ref="B81:C81"/>
    <mergeCell ref="C83:C84"/>
    <mergeCell ref="C112:C113"/>
    <mergeCell ref="B110:C111"/>
    <mergeCell ref="B59:C60"/>
    <mergeCell ref="B52:B57"/>
    <mergeCell ref="B46:B51"/>
    <mergeCell ref="A15:A38"/>
    <mergeCell ref="B33:B38"/>
    <mergeCell ref="C56:C57"/>
    <mergeCell ref="C106:C107"/>
    <mergeCell ref="B96:B101"/>
    <mergeCell ref="C96:C97"/>
    <mergeCell ref="C98:C99"/>
    <mergeCell ref="D78:D79"/>
    <mergeCell ref="D83:D84"/>
    <mergeCell ref="D85:D86"/>
    <mergeCell ref="D87:D88"/>
    <mergeCell ref="A226:A235"/>
    <mergeCell ref="C249:C250"/>
    <mergeCell ref="C253:C254"/>
    <mergeCell ref="C116:C117"/>
    <mergeCell ref="B112:B117"/>
    <mergeCell ref="C120:C121"/>
    <mergeCell ref="C118:C119"/>
    <mergeCell ref="A237:A254"/>
    <mergeCell ref="C241:C242"/>
    <mergeCell ref="C243:C244"/>
    <mergeCell ref="C245:C246"/>
    <mergeCell ref="B249:B254"/>
    <mergeCell ref="B243:B248"/>
    <mergeCell ref="C251:C252"/>
    <mergeCell ref="C222:C223"/>
    <mergeCell ref="C239:C240"/>
    <mergeCell ref="C247:C248"/>
    <mergeCell ref="B226:C227"/>
    <mergeCell ref="B228:C229"/>
    <mergeCell ref="B234:C235"/>
    <mergeCell ref="B236:AH236"/>
    <mergeCell ref="D247:D248"/>
    <mergeCell ref="X237:X238"/>
    <mergeCell ref="B237:B242"/>
    <mergeCell ref="D131:D132"/>
    <mergeCell ref="D133:D134"/>
    <mergeCell ref="D135:D136"/>
    <mergeCell ref="D137:D138"/>
    <mergeCell ref="D139:D140"/>
    <mergeCell ref="D141:D142"/>
    <mergeCell ref="D146:D147"/>
    <mergeCell ref="D148:D149"/>
    <mergeCell ref="D163:D164"/>
    <mergeCell ref="D165:D166"/>
    <mergeCell ref="D167:D168"/>
    <mergeCell ref="D169:D170"/>
    <mergeCell ref="D171:D172"/>
    <mergeCell ref="D173:D174"/>
    <mergeCell ref="D175:D176"/>
    <mergeCell ref="D177:D178"/>
    <mergeCell ref="D179:D180"/>
    <mergeCell ref="D181:D182"/>
    <mergeCell ref="D183:D184"/>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B225:AG225"/>
    <mergeCell ref="D251:D252"/>
    <mergeCell ref="R237:R238"/>
    <mergeCell ref="S237:S238"/>
    <mergeCell ref="T237:T238"/>
    <mergeCell ref="W237:W238"/>
    <mergeCell ref="B222:B223"/>
    <mergeCell ref="D253:D254"/>
    <mergeCell ref="D192:D193"/>
    <mergeCell ref="D237:D238"/>
    <mergeCell ref="D239:D240"/>
    <mergeCell ref="D241:D242"/>
    <mergeCell ref="D243:D244"/>
    <mergeCell ref="D245:D246"/>
    <mergeCell ref="D198:D199"/>
    <mergeCell ref="D208:D209"/>
    <mergeCell ref="D249:D250"/>
    <mergeCell ref="B213:C214"/>
    <mergeCell ref="B215:C216"/>
    <mergeCell ref="B200:C201"/>
    <mergeCell ref="B202:B207"/>
    <mergeCell ref="C202:C203"/>
    <mergeCell ref="B232:C233"/>
    <mergeCell ref="J196:J197"/>
    <mergeCell ref="P196:P197"/>
    <mergeCell ref="V196:V197"/>
    <mergeCell ref="AB196:AB197"/>
    <mergeCell ref="D215:D216"/>
    <mergeCell ref="J215:J216"/>
    <mergeCell ref="P215:P216"/>
    <mergeCell ref="V215:V216"/>
    <mergeCell ref="AB215:AB216"/>
    <mergeCell ref="K125:K126"/>
    <mergeCell ref="L125:L126"/>
    <mergeCell ref="M125:M126"/>
    <mergeCell ref="N125:N126"/>
    <mergeCell ref="O125:O126"/>
    <mergeCell ref="P125:P126"/>
    <mergeCell ref="Q125:Q126"/>
    <mergeCell ref="R125:R126"/>
    <mergeCell ref="S125:S126"/>
    <mergeCell ref="T125:T126"/>
    <mergeCell ref="U125:U126"/>
    <mergeCell ref="D185:D186"/>
    <mergeCell ref="D187:D188"/>
    <mergeCell ref="D190:D191"/>
    <mergeCell ref="D196:D197"/>
    <mergeCell ref="D206:D207"/>
    <mergeCell ref="D210:D211"/>
    <mergeCell ref="E185:E186"/>
    <mergeCell ref="F185:F186"/>
    <mergeCell ref="G185:G186"/>
    <mergeCell ref="H185:H186"/>
    <mergeCell ref="K185:K186"/>
    <mergeCell ref="L185:L186"/>
    <mergeCell ref="M185:M186"/>
    <mergeCell ref="N185:N186"/>
    <mergeCell ref="Q185:Q186"/>
    <mergeCell ref="D150:D151"/>
    <mergeCell ref="D153:D154"/>
    <mergeCell ref="D155:D156"/>
    <mergeCell ref="D157:D158"/>
    <mergeCell ref="D159:D160"/>
    <mergeCell ref="D161:D162"/>
    <mergeCell ref="AH125:AH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E125:E126"/>
    <mergeCell ref="F125:F126"/>
    <mergeCell ref="G125:G126"/>
    <mergeCell ref="H125:H126"/>
    <mergeCell ref="I125:I126"/>
    <mergeCell ref="J125:J126"/>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E131:E132"/>
    <mergeCell ref="F131:F132"/>
    <mergeCell ref="G131:G132"/>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AC141:AC142"/>
    <mergeCell ref="AD141:AD142"/>
    <mergeCell ref="AE141:AE142"/>
    <mergeCell ref="AF141:AF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L46:L47"/>
    <mergeCell ref="M46:M47"/>
    <mergeCell ref="N46:N47"/>
    <mergeCell ref="Q46:Q47"/>
    <mergeCell ref="R46:R47"/>
    <mergeCell ref="S46:S47"/>
    <mergeCell ref="T46:T47"/>
    <mergeCell ref="W46:W47"/>
    <mergeCell ref="X46:X47"/>
    <mergeCell ref="Y46:Y47"/>
    <mergeCell ref="Z46:Z47"/>
    <mergeCell ref="AC46:AC47"/>
    <mergeCell ref="X42:X43"/>
    <mergeCell ref="Y42:Y43"/>
    <mergeCell ref="Z42:Z43"/>
    <mergeCell ref="AC42:AC43"/>
    <mergeCell ref="AD42:AD43"/>
    <mergeCell ref="Y50:Y51"/>
    <mergeCell ref="Z50:Z51"/>
    <mergeCell ref="AC50:AC51"/>
    <mergeCell ref="AB50:AB51"/>
    <mergeCell ref="AD50:AD51"/>
    <mergeCell ref="AE50:AE51"/>
    <mergeCell ref="AD46:AD47"/>
    <mergeCell ref="AE46:AE47"/>
    <mergeCell ref="AF46:AF47"/>
    <mergeCell ref="E48:E49"/>
    <mergeCell ref="F48:F49"/>
    <mergeCell ref="G48:G49"/>
    <mergeCell ref="H48:H49"/>
    <mergeCell ref="K48:K49"/>
    <mergeCell ref="L48:L49"/>
    <mergeCell ref="M48:M49"/>
    <mergeCell ref="R48:R49"/>
    <mergeCell ref="S48:S49"/>
    <mergeCell ref="T48:T49"/>
    <mergeCell ref="W48:W49"/>
    <mergeCell ref="X48:X49"/>
    <mergeCell ref="Y48:Y49"/>
    <mergeCell ref="Z48:Z49"/>
    <mergeCell ref="AC48:AC49"/>
    <mergeCell ref="AD48:AD49"/>
    <mergeCell ref="AE48:AE49"/>
    <mergeCell ref="AF48:AF49"/>
    <mergeCell ref="E46:E47"/>
    <mergeCell ref="F46:F47"/>
    <mergeCell ref="G46:G47"/>
    <mergeCell ref="H46:H47"/>
    <mergeCell ref="K46:K47"/>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H50:H51"/>
    <mergeCell ref="K50:K51"/>
    <mergeCell ref="L50:L51"/>
    <mergeCell ref="M50:M51"/>
    <mergeCell ref="N50:N51"/>
    <mergeCell ref="Q50:Q51"/>
    <mergeCell ref="R50:R51"/>
    <mergeCell ref="S50:S51"/>
    <mergeCell ref="T50:T51"/>
    <mergeCell ref="W50:W51"/>
    <mergeCell ref="X50:X51"/>
    <mergeCell ref="Y56:Y57"/>
    <mergeCell ref="Z56:Z57"/>
    <mergeCell ref="AC56:AC57"/>
    <mergeCell ref="AD56:AD57"/>
    <mergeCell ref="AE56:AE57"/>
    <mergeCell ref="AF56:AF57"/>
    <mergeCell ref="E54:E55"/>
    <mergeCell ref="F54:F55"/>
    <mergeCell ref="G54:G55"/>
    <mergeCell ref="H54:H55"/>
    <mergeCell ref="K54:K55"/>
    <mergeCell ref="L54:L55"/>
    <mergeCell ref="M54:M55"/>
    <mergeCell ref="N54:N55"/>
    <mergeCell ref="Q54:Q55"/>
    <mergeCell ref="R54:R55"/>
    <mergeCell ref="S54:S55"/>
    <mergeCell ref="T54:T55"/>
    <mergeCell ref="W54:W55"/>
    <mergeCell ref="X54:X55"/>
    <mergeCell ref="Y54:Y55"/>
    <mergeCell ref="Z54:Z55"/>
    <mergeCell ref="AC54:AC55"/>
    <mergeCell ref="U15:U16"/>
    <mergeCell ref="W15:W16"/>
    <mergeCell ref="X15:X16"/>
    <mergeCell ref="Y15:Y16"/>
    <mergeCell ref="Z15:Z16"/>
    <mergeCell ref="AA15:AA16"/>
    <mergeCell ref="AC15:AC16"/>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O17:O18"/>
    <mergeCell ref="P17:P18"/>
    <mergeCell ref="T17:T18"/>
    <mergeCell ref="U17:U18"/>
    <mergeCell ref="W17:W18"/>
    <mergeCell ref="X17:X18"/>
    <mergeCell ref="Y17:Y18"/>
    <mergeCell ref="Z17:Z18"/>
    <mergeCell ref="V17:V18"/>
    <mergeCell ref="AA17:AA18"/>
    <mergeCell ref="AC17:AC18"/>
    <mergeCell ref="AD17:AD18"/>
    <mergeCell ref="AE17:AE18"/>
    <mergeCell ref="AF17:AF18"/>
    <mergeCell ref="AG17:AG18"/>
    <mergeCell ref="AB17:AB18"/>
    <mergeCell ref="K19:K20"/>
    <mergeCell ref="L19:L20"/>
    <mergeCell ref="M19:M20"/>
    <mergeCell ref="N19:N20"/>
    <mergeCell ref="Q19:Q20"/>
    <mergeCell ref="R19:R20"/>
    <mergeCell ref="S19:S20"/>
    <mergeCell ref="T19:T20"/>
    <mergeCell ref="U19:U20"/>
    <mergeCell ref="W19:W20"/>
    <mergeCell ref="X19:X20"/>
    <mergeCell ref="Y19:Y20"/>
    <mergeCell ref="Z19:Z20"/>
    <mergeCell ref="AA19:AA20"/>
    <mergeCell ref="AC19:AC20"/>
    <mergeCell ref="AD19:AD20"/>
    <mergeCell ref="AE19:AE20"/>
    <mergeCell ref="AF19:AF20"/>
    <mergeCell ref="AG19:AG20"/>
    <mergeCell ref="U21:U22"/>
    <mergeCell ref="W21:W22"/>
    <mergeCell ref="X21:X22"/>
    <mergeCell ref="Y21:Y22"/>
    <mergeCell ref="Z21:Z22"/>
    <mergeCell ref="AA21:AA22"/>
    <mergeCell ref="AC21:AC22"/>
    <mergeCell ref="AD21:AD22"/>
    <mergeCell ref="AE21:AE22"/>
    <mergeCell ref="AB21:AB22"/>
    <mergeCell ref="AF21:AF22"/>
    <mergeCell ref="AG21:AG22"/>
    <mergeCell ref="E23:E24"/>
    <mergeCell ref="F23:F24"/>
    <mergeCell ref="G23:G24"/>
    <mergeCell ref="H23:H24"/>
    <mergeCell ref="K23:K24"/>
    <mergeCell ref="L23:L24"/>
    <mergeCell ref="M23:M24"/>
    <mergeCell ref="N23:N24"/>
    <mergeCell ref="U23:U24"/>
    <mergeCell ref="W23:W24"/>
    <mergeCell ref="X23:X24"/>
    <mergeCell ref="Y23:Y24"/>
    <mergeCell ref="Z23:Z24"/>
    <mergeCell ref="AA23:AA24"/>
    <mergeCell ref="AC23:AC24"/>
    <mergeCell ref="AD23:AD24"/>
    <mergeCell ref="AE23:AE24"/>
    <mergeCell ref="AF23:AF24"/>
    <mergeCell ref="AG23:AG24"/>
    <mergeCell ref="T23:T24"/>
    <mergeCell ref="AD25:AD26"/>
    <mergeCell ref="AE25:AE26"/>
    <mergeCell ref="AF25:AF26"/>
    <mergeCell ref="AG25:AG26"/>
    <mergeCell ref="H27:H28"/>
    <mergeCell ref="K27:K28"/>
    <mergeCell ref="L27:L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E27:AE28"/>
    <mergeCell ref="AF27:AF28"/>
    <mergeCell ref="AG27:AG28"/>
    <mergeCell ref="N29:N30"/>
    <mergeCell ref="Q29:Q30"/>
    <mergeCell ref="R29:R30"/>
    <mergeCell ref="S29:S30"/>
    <mergeCell ref="T29:T30"/>
    <mergeCell ref="U29:U30"/>
    <mergeCell ref="W29:W30"/>
    <mergeCell ref="X29:X30"/>
    <mergeCell ref="Y29:Y30"/>
    <mergeCell ref="Z29:Z30"/>
    <mergeCell ref="U25:U26"/>
    <mergeCell ref="W25:W26"/>
    <mergeCell ref="X25:X26"/>
    <mergeCell ref="Y25:Y26"/>
    <mergeCell ref="Z25:Z26"/>
    <mergeCell ref="AA25:AA26"/>
    <mergeCell ref="AC25:AC26"/>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AG31:AG32"/>
    <mergeCell ref="E29:E30"/>
    <mergeCell ref="F29:F30"/>
    <mergeCell ref="G29:G30"/>
    <mergeCell ref="H29:H30"/>
    <mergeCell ref="K29:K30"/>
    <mergeCell ref="L29:L30"/>
    <mergeCell ref="M29:M30"/>
    <mergeCell ref="Q33:Q34"/>
    <mergeCell ref="R33:R34"/>
    <mergeCell ref="S33:S34"/>
    <mergeCell ref="T33:T34"/>
    <mergeCell ref="U33:U34"/>
    <mergeCell ref="W33:W34"/>
    <mergeCell ref="X33:X34"/>
    <mergeCell ref="Y33:Y34"/>
    <mergeCell ref="Z33:Z34"/>
    <mergeCell ref="AA33:AA34"/>
    <mergeCell ref="AC33:AC34"/>
    <mergeCell ref="AD33:AD34"/>
    <mergeCell ref="AA29:AA30"/>
    <mergeCell ref="AC29:AC30"/>
    <mergeCell ref="AD29:AD30"/>
    <mergeCell ref="AB29:AB30"/>
    <mergeCell ref="AE29:AE30"/>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AB35:AB36"/>
    <mergeCell ref="H33:H34"/>
    <mergeCell ref="K33:K34"/>
    <mergeCell ref="L33:L34"/>
    <mergeCell ref="M33:M34"/>
    <mergeCell ref="N33:N34"/>
    <mergeCell ref="AF59:AF60"/>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AD54:AD55"/>
    <mergeCell ref="AE54:AE55"/>
    <mergeCell ref="AF54:AF55"/>
    <mergeCell ref="E56:E57"/>
    <mergeCell ref="F56:F57"/>
    <mergeCell ref="G56:G57"/>
    <mergeCell ref="H56:H57"/>
    <mergeCell ref="K56:K57"/>
    <mergeCell ref="Q56:Q57"/>
    <mergeCell ref="R56:R57"/>
    <mergeCell ref="S56:S57"/>
    <mergeCell ref="T56:T57"/>
    <mergeCell ref="W56:W57"/>
    <mergeCell ref="X56:X57"/>
    <mergeCell ref="X61:X62"/>
    <mergeCell ref="Y61:Y62"/>
    <mergeCell ref="Z61:Z62"/>
    <mergeCell ref="AC61:AC62"/>
    <mergeCell ref="AD61:AD62"/>
    <mergeCell ref="AE61:AE62"/>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G61:G62"/>
    <mergeCell ref="H61:H62"/>
    <mergeCell ref="K61:K62"/>
    <mergeCell ref="L61:L62"/>
    <mergeCell ref="M61:M62"/>
    <mergeCell ref="N61:N62"/>
    <mergeCell ref="Q61:Q62"/>
    <mergeCell ref="R61:R62"/>
    <mergeCell ref="S61:S62"/>
    <mergeCell ref="T61:T62"/>
    <mergeCell ref="W61:W62"/>
    <mergeCell ref="AC65:AC66"/>
    <mergeCell ref="AD65:AD66"/>
    <mergeCell ref="AE65:AE66"/>
    <mergeCell ref="AF65:AF66"/>
    <mergeCell ref="E67:E68"/>
    <mergeCell ref="F67:F68"/>
    <mergeCell ref="G67:G68"/>
    <mergeCell ref="H67:H68"/>
    <mergeCell ref="K67:K68"/>
    <mergeCell ref="L67:L68"/>
    <mergeCell ref="M67:M68"/>
    <mergeCell ref="N67:N68"/>
    <mergeCell ref="W67:W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W71:W72"/>
    <mergeCell ref="X71:X72"/>
    <mergeCell ref="Y71:Y72"/>
    <mergeCell ref="Z71:Z72"/>
    <mergeCell ref="AC71:AC72"/>
    <mergeCell ref="AD71:AD72"/>
    <mergeCell ref="AE71:AE72"/>
    <mergeCell ref="AF71:AF72"/>
    <mergeCell ref="R83:R84"/>
    <mergeCell ref="S83:S84"/>
    <mergeCell ref="T83:T84"/>
    <mergeCell ref="W83:W84"/>
    <mergeCell ref="X83:X84"/>
    <mergeCell ref="Y83:Y84"/>
    <mergeCell ref="Z83:Z84"/>
    <mergeCell ref="AC83:AC84"/>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AD83:AD84"/>
    <mergeCell ref="AE83:AE84"/>
    <mergeCell ref="AF83:AF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AD85:AD86"/>
    <mergeCell ref="AE85:AE86"/>
    <mergeCell ref="AF85:AF86"/>
    <mergeCell ref="E83:E84"/>
    <mergeCell ref="F83:F84"/>
    <mergeCell ref="G83:G84"/>
    <mergeCell ref="H83:H84"/>
    <mergeCell ref="K83:K84"/>
    <mergeCell ref="L83:L84"/>
    <mergeCell ref="M83:M84"/>
    <mergeCell ref="N83:N84"/>
    <mergeCell ref="Q83:Q84"/>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89:E90"/>
    <mergeCell ref="F89:F90"/>
    <mergeCell ref="G89:G90"/>
    <mergeCell ref="H89:H90"/>
    <mergeCell ref="K89:K90"/>
    <mergeCell ref="L89:L90"/>
    <mergeCell ref="M89:M90"/>
    <mergeCell ref="N89:N90"/>
    <mergeCell ref="Q89:Q90"/>
    <mergeCell ref="R89:R90"/>
    <mergeCell ref="S89:S90"/>
    <mergeCell ref="T89:T90"/>
    <mergeCell ref="W89:W90"/>
    <mergeCell ref="X89:X90"/>
    <mergeCell ref="Y89:Y90"/>
    <mergeCell ref="Z89:Z90"/>
    <mergeCell ref="AC89:AC90"/>
    <mergeCell ref="J89:J90"/>
    <mergeCell ref="P89:P90"/>
    <mergeCell ref="V89:V90"/>
    <mergeCell ref="AB89:AB90"/>
    <mergeCell ref="AF96:AF97"/>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R98:R99"/>
    <mergeCell ref="S98:S99"/>
    <mergeCell ref="T98:T99"/>
    <mergeCell ref="W98:W99"/>
    <mergeCell ref="X98:X99"/>
    <mergeCell ref="Y98:Y99"/>
    <mergeCell ref="Z98:Z99"/>
    <mergeCell ref="AC98:AC99"/>
    <mergeCell ref="W93:W94"/>
    <mergeCell ref="X93:X94"/>
    <mergeCell ref="Y93:Y94"/>
    <mergeCell ref="Z93:Z94"/>
    <mergeCell ref="AC93:AC94"/>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AD100:AD101"/>
    <mergeCell ref="AE100:AE101"/>
    <mergeCell ref="AF100:AF101"/>
    <mergeCell ref="E98:E99"/>
    <mergeCell ref="F98:F99"/>
    <mergeCell ref="G98:G99"/>
    <mergeCell ref="H98:H99"/>
    <mergeCell ref="K98:K99"/>
    <mergeCell ref="L98:L99"/>
    <mergeCell ref="M98:M99"/>
    <mergeCell ref="N98:N99"/>
    <mergeCell ref="Q98:Q99"/>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J104:J105"/>
    <mergeCell ref="P104:P105"/>
    <mergeCell ref="V104:V105"/>
    <mergeCell ref="AB104:AB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J114:J115"/>
    <mergeCell ref="P114:P115"/>
    <mergeCell ref="V114:V115"/>
    <mergeCell ref="AB114:AB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AE118:AE119"/>
    <mergeCell ref="AF118:AF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0:AD121"/>
    <mergeCell ref="AE120:AE121"/>
    <mergeCell ref="AF120:AF121"/>
    <mergeCell ref="E118:E119"/>
    <mergeCell ref="F118:F119"/>
    <mergeCell ref="G118:G119"/>
    <mergeCell ref="H118:H119"/>
    <mergeCell ref="K118:K119"/>
    <mergeCell ref="L118:L119"/>
    <mergeCell ref="M118:M119"/>
    <mergeCell ref="N118:N119"/>
    <mergeCell ref="Q118:Q119"/>
    <mergeCell ref="R118:R119"/>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AD118:AD119"/>
    <mergeCell ref="S118:S119"/>
    <mergeCell ref="T118:T119"/>
    <mergeCell ref="W118:W119"/>
    <mergeCell ref="X118:X119"/>
    <mergeCell ref="Y118:Y119"/>
    <mergeCell ref="Z118:Z119"/>
    <mergeCell ref="AC118:AC119"/>
    <mergeCell ref="J122:J123"/>
    <mergeCell ref="P122:P123"/>
    <mergeCell ref="V122:V123"/>
    <mergeCell ref="AB122:AB123"/>
    <mergeCell ref="R155:R156"/>
    <mergeCell ref="S155:S156"/>
    <mergeCell ref="T155:T156"/>
    <mergeCell ref="W155:W156"/>
    <mergeCell ref="X155:X156"/>
    <mergeCell ref="Y155:Y156"/>
    <mergeCell ref="Z155:Z156"/>
    <mergeCell ref="AC155:AC156"/>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AD155:AD156"/>
    <mergeCell ref="AE155:AE156"/>
    <mergeCell ref="AF155:AF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AD157:AD158"/>
    <mergeCell ref="AE157:AE158"/>
    <mergeCell ref="AF157:AF158"/>
    <mergeCell ref="E155:E156"/>
    <mergeCell ref="F155:F156"/>
    <mergeCell ref="G155:G156"/>
    <mergeCell ref="H155:H156"/>
    <mergeCell ref="K155:K156"/>
    <mergeCell ref="L155:L156"/>
    <mergeCell ref="M155:M156"/>
    <mergeCell ref="N155:N156"/>
    <mergeCell ref="Q155:Q156"/>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P177:P178"/>
    <mergeCell ref="V177:V178"/>
    <mergeCell ref="AB177:AB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Z185:Z186"/>
    <mergeCell ref="AC185:AC186"/>
    <mergeCell ref="AD185:AD186"/>
    <mergeCell ref="AE185:AE186"/>
    <mergeCell ref="AF185:AF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AD187:AD188"/>
    <mergeCell ref="AE187:AE188"/>
    <mergeCell ref="AF187:AF188"/>
    <mergeCell ref="J185:J186"/>
    <mergeCell ref="P185:P186"/>
    <mergeCell ref="V185:V186"/>
    <mergeCell ref="AB185:AB186"/>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237:E238"/>
    <mergeCell ref="F237:F238"/>
    <mergeCell ref="G237:G238"/>
    <mergeCell ref="H237:H238"/>
    <mergeCell ref="K237:K238"/>
    <mergeCell ref="L237:L238"/>
    <mergeCell ref="M237:M238"/>
    <mergeCell ref="N237:N238"/>
    <mergeCell ref="Q237:Q238"/>
    <mergeCell ref="AE237:AE238"/>
    <mergeCell ref="AF237:AF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AD239:AD240"/>
    <mergeCell ref="AE239:AE240"/>
    <mergeCell ref="AF239:AF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AB245:AB246"/>
    <mergeCell ref="R249:R250"/>
    <mergeCell ref="S249:S250"/>
    <mergeCell ref="T249:T250"/>
    <mergeCell ref="W249:W250"/>
    <mergeCell ref="X249:X250"/>
    <mergeCell ref="Y249:Y250"/>
    <mergeCell ref="Z249:Z250"/>
    <mergeCell ref="AC249:AC250"/>
    <mergeCell ref="AF245:AF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D247:AD248"/>
    <mergeCell ref="AE247:AE248"/>
    <mergeCell ref="AF247:AF248"/>
    <mergeCell ref="E245:E246"/>
    <mergeCell ref="F245:F246"/>
    <mergeCell ref="G245:G246"/>
    <mergeCell ref="AD249:AD250"/>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E249:E250"/>
    <mergeCell ref="F249:F250"/>
    <mergeCell ref="G249:G250"/>
    <mergeCell ref="H249:H250"/>
    <mergeCell ref="K249:K250"/>
    <mergeCell ref="L249:L250"/>
    <mergeCell ref="M249:M250"/>
    <mergeCell ref="N249:N250"/>
    <mergeCell ref="Q249:Q250"/>
    <mergeCell ref="E253:E254"/>
    <mergeCell ref="F253:F254"/>
    <mergeCell ref="G253:G254"/>
    <mergeCell ref="H253:H254"/>
    <mergeCell ref="K253:K254"/>
    <mergeCell ref="L253:L254"/>
    <mergeCell ref="J253:J254"/>
    <mergeCell ref="M253:M254"/>
    <mergeCell ref="N253:N254"/>
    <mergeCell ref="Q253:Q254"/>
    <mergeCell ref="R253:R254"/>
    <mergeCell ref="S253:S254"/>
    <mergeCell ref="T253:T254"/>
    <mergeCell ref="P253:P254"/>
    <mergeCell ref="W253:W254"/>
    <mergeCell ref="X253:X254"/>
    <mergeCell ref="Y253:Y254"/>
    <mergeCell ref="V253:V254"/>
    <mergeCell ref="Z253:Z254"/>
    <mergeCell ref="AC253:AC254"/>
    <mergeCell ref="AD253:AD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H204:H205"/>
    <mergeCell ref="E206:E207"/>
    <mergeCell ref="F206:F207"/>
    <mergeCell ref="G206:G207"/>
    <mergeCell ref="H206:H207"/>
    <mergeCell ref="E208:E209"/>
    <mergeCell ref="F208:F209"/>
    <mergeCell ref="G208:G209"/>
    <mergeCell ref="H208:H209"/>
    <mergeCell ref="F210:F211"/>
    <mergeCell ref="G210:G211"/>
    <mergeCell ref="M198:M199"/>
    <mergeCell ref="N198:N199"/>
    <mergeCell ref="K200:K201"/>
    <mergeCell ref="L200:L201"/>
    <mergeCell ref="M200:M201"/>
    <mergeCell ref="N200:N201"/>
    <mergeCell ref="N202:N203"/>
    <mergeCell ref="K204:K205"/>
    <mergeCell ref="L204:L205"/>
    <mergeCell ref="M204:M205"/>
    <mergeCell ref="N204:N205"/>
    <mergeCell ref="K206:K207"/>
    <mergeCell ref="L206:L207"/>
    <mergeCell ref="M206:M207"/>
    <mergeCell ref="N206:N207"/>
    <mergeCell ref="K210:K211"/>
    <mergeCell ref="L210:L211"/>
    <mergeCell ref="M210:M211"/>
    <mergeCell ref="N210:N211"/>
    <mergeCell ref="Q196:Q197"/>
    <mergeCell ref="R196:R197"/>
    <mergeCell ref="Q200:Q201"/>
    <mergeCell ref="R200:R201"/>
    <mergeCell ref="Q204:Q205"/>
    <mergeCell ref="R204:R205"/>
    <mergeCell ref="S196:S197"/>
    <mergeCell ref="T196:T197"/>
    <mergeCell ref="Q198:Q199"/>
    <mergeCell ref="R198:R199"/>
    <mergeCell ref="S198:S199"/>
    <mergeCell ref="T198:T199"/>
    <mergeCell ref="S200:S201"/>
    <mergeCell ref="T200:T201"/>
    <mergeCell ref="Q202:Q203"/>
    <mergeCell ref="R202:R203"/>
    <mergeCell ref="S202:S203"/>
    <mergeCell ref="T202:T203"/>
    <mergeCell ref="S204:S205"/>
    <mergeCell ref="T204:T205"/>
    <mergeCell ref="S206:S207"/>
    <mergeCell ref="T206:T207"/>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E213:E214"/>
    <mergeCell ref="F213:F214"/>
    <mergeCell ref="G213:G214"/>
    <mergeCell ref="H213:H214"/>
    <mergeCell ref="E215:E216"/>
    <mergeCell ref="F215:F216"/>
    <mergeCell ref="G215:G216"/>
    <mergeCell ref="H215:H216"/>
    <mergeCell ref="W213:W214"/>
    <mergeCell ref="X213:X214"/>
    <mergeCell ref="Y213:Y214"/>
    <mergeCell ref="Z213:Z214"/>
    <mergeCell ref="W215:W216"/>
    <mergeCell ref="X215:X216"/>
    <mergeCell ref="Y215:Y216"/>
    <mergeCell ref="Z215:Z216"/>
    <mergeCell ref="AC213:AC214"/>
    <mergeCell ref="AD213:AD214"/>
    <mergeCell ref="AE213:AE214"/>
    <mergeCell ref="AF213:AF214"/>
    <mergeCell ref="AC215:AC216"/>
    <mergeCell ref="AD215:AD216"/>
    <mergeCell ref="AE215:AE216"/>
    <mergeCell ref="E217:E218"/>
    <mergeCell ref="F217:F218"/>
    <mergeCell ref="G217:G218"/>
    <mergeCell ref="H217:H218"/>
    <mergeCell ref="K213:K214"/>
    <mergeCell ref="L213:L214"/>
    <mergeCell ref="K215:K216"/>
    <mergeCell ref="L215:L216"/>
    <mergeCell ref="K217:K218"/>
    <mergeCell ref="L217:L218"/>
    <mergeCell ref="S213:S214"/>
    <mergeCell ref="T213:T214"/>
    <mergeCell ref="Q215:Q216"/>
    <mergeCell ref="R215:R216"/>
    <mergeCell ref="S215:S216"/>
    <mergeCell ref="T215:T216"/>
    <mergeCell ref="Q217:Q218"/>
    <mergeCell ref="R217:R218"/>
    <mergeCell ref="S217:S218"/>
    <mergeCell ref="T217:T218"/>
    <mergeCell ref="Q213:Q214"/>
    <mergeCell ref="R213:R214"/>
    <mergeCell ref="J217:J218"/>
    <mergeCell ref="P217:P218"/>
  </mergeCells>
  <pageMargins left="0.70866141732283472" right="0.70866141732283472" top="0.74803149606299213" bottom="0.74803149606299213" header="0.31496062992125984" footer="0.31496062992125984"/>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3322F-27E4-4BEE-9CF5-4BC2BBA88FF7}">
  <sheetPr>
    <pageSetUpPr fitToPage="1"/>
  </sheetPr>
  <dimension ref="A1:AH256"/>
  <sheetViews>
    <sheetView zoomScale="90" zoomScaleNormal="90" workbookViewId="0">
      <pane ySplit="12" topLeftCell="A226" activePane="bottomLeft" state="frozen"/>
      <selection activeCell="B67" sqref="B67:C68"/>
      <selection pane="bottomLeft" activeCell="AC235" sqref="AC235:AF235"/>
    </sheetView>
  </sheetViews>
  <sheetFormatPr defaultColWidth="9.109375" defaultRowHeight="10.199999999999999" x14ac:dyDescent="0.2"/>
  <cols>
    <col min="1" max="1" width="5.44140625" style="11" customWidth="1"/>
    <col min="2" max="2" width="35.77734375" style="11" customWidth="1"/>
    <col min="3" max="3" width="6.33203125" style="11" customWidth="1"/>
    <col min="4" max="4" width="5.5546875"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326"/>
      <c r="E2" s="326"/>
      <c r="F2" s="326"/>
      <c r="G2" s="326"/>
      <c r="H2" s="326"/>
      <c r="I2" s="326"/>
      <c r="J2" s="326"/>
      <c r="K2" s="326"/>
      <c r="L2" s="326"/>
      <c r="M2" s="326"/>
      <c r="N2" s="216"/>
      <c r="O2" s="215"/>
    </row>
    <row r="3" spans="1:34" x14ac:dyDescent="0.2">
      <c r="A3" s="297" t="s">
        <v>50</v>
      </c>
      <c r="B3" s="297"/>
      <c r="C3" s="297"/>
      <c r="D3" s="326"/>
      <c r="E3" s="326"/>
      <c r="F3" s="326"/>
      <c r="G3" s="326"/>
      <c r="H3" s="326"/>
      <c r="I3" s="326"/>
      <c r="J3" s="326"/>
      <c r="K3" s="326"/>
      <c r="N3" s="546"/>
      <c r="O3" s="547"/>
    </row>
    <row r="4" spans="1:34" x14ac:dyDescent="0.2">
      <c r="A4" s="297" t="s">
        <v>66</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170</v>
      </c>
      <c r="B8" s="268"/>
      <c r="C8" s="268"/>
      <c r="D8" s="326"/>
      <c r="E8" s="326"/>
      <c r="F8" s="326"/>
      <c r="G8" s="326"/>
      <c r="H8" s="326"/>
      <c r="I8" s="326"/>
      <c r="J8" s="326"/>
      <c r="K8" s="326"/>
      <c r="L8" s="326"/>
      <c r="M8" s="326"/>
      <c r="N8" s="326"/>
      <c r="O8" s="326"/>
      <c r="P8" s="326"/>
      <c r="Q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91"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91"/>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305" t="s">
        <v>13</v>
      </c>
      <c r="C58" s="305"/>
      <c r="D58" s="204"/>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305" t="s">
        <v>16</v>
      </c>
      <c r="C73" s="305"/>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222"/>
      <c r="D82" s="24" t="s">
        <v>135</v>
      </c>
      <c r="E82" s="35">
        <v>12</v>
      </c>
      <c r="F82" s="35">
        <v>12</v>
      </c>
      <c r="G82" s="35">
        <v>12</v>
      </c>
      <c r="H82" s="35">
        <v>14</v>
      </c>
      <c r="I82" s="35"/>
      <c r="J82" s="35">
        <v>50</v>
      </c>
      <c r="K82" s="162">
        <v>12</v>
      </c>
      <c r="L82" s="162">
        <v>12</v>
      </c>
      <c r="M82" s="162">
        <v>12</v>
      </c>
      <c r="N82" s="162">
        <v>14</v>
      </c>
      <c r="O82" s="162"/>
      <c r="P82" s="35">
        <v>50</v>
      </c>
      <c r="Q82" s="162">
        <v>12</v>
      </c>
      <c r="R82" s="162">
        <v>12</v>
      </c>
      <c r="S82" s="162">
        <v>12</v>
      </c>
      <c r="T82" s="162">
        <v>14</v>
      </c>
      <c r="U82" s="35"/>
      <c r="V82" s="35">
        <v>50</v>
      </c>
      <c r="W82" s="162">
        <v>12</v>
      </c>
      <c r="X82" s="162">
        <v>12</v>
      </c>
      <c r="Y82" s="162">
        <v>12</v>
      </c>
      <c r="Z82" s="162">
        <v>14</v>
      </c>
      <c r="AA82" s="162"/>
      <c r="AB82" s="35">
        <v>50</v>
      </c>
      <c r="AC82" s="162">
        <v>12</v>
      </c>
      <c r="AD82" s="162">
        <v>12</v>
      </c>
      <c r="AE82" s="162">
        <v>12</v>
      </c>
      <c r="AF82" s="162">
        <v>14</v>
      </c>
      <c r="AG82" s="35"/>
      <c r="AH82" s="35">
        <v>50</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479"/>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479"/>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479"/>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25</v>
      </c>
      <c r="F95" s="162">
        <v>25</v>
      </c>
      <c r="G95" s="162">
        <v>25</v>
      </c>
      <c r="H95" s="162">
        <v>25</v>
      </c>
      <c r="I95" s="35"/>
      <c r="J95" s="35">
        <v>100</v>
      </c>
      <c r="K95" s="162">
        <v>25</v>
      </c>
      <c r="L95" s="162">
        <v>25</v>
      </c>
      <c r="M95" s="162">
        <v>25</v>
      </c>
      <c r="N95" s="162">
        <v>25</v>
      </c>
      <c r="O95" s="35"/>
      <c r="P95" s="35">
        <v>100</v>
      </c>
      <c r="Q95" s="162">
        <v>25</v>
      </c>
      <c r="R95" s="162">
        <v>25</v>
      </c>
      <c r="S95" s="162">
        <v>25</v>
      </c>
      <c r="T95" s="162">
        <v>25</v>
      </c>
      <c r="U95" s="35"/>
      <c r="V95" s="35">
        <v>100</v>
      </c>
      <c r="W95" s="162">
        <v>25</v>
      </c>
      <c r="X95" s="162">
        <v>25</v>
      </c>
      <c r="Y95" s="162">
        <v>25</v>
      </c>
      <c r="Z95" s="162">
        <v>25</v>
      </c>
      <c r="AA95" s="35"/>
      <c r="AB95" s="35">
        <v>100</v>
      </c>
      <c r="AC95" s="162">
        <v>25</v>
      </c>
      <c r="AD95" s="162">
        <v>25</v>
      </c>
      <c r="AE95" s="162">
        <v>25</v>
      </c>
      <c r="AF95" s="162">
        <v>25</v>
      </c>
      <c r="AG95" s="35"/>
      <c r="AH95" s="35">
        <v>100</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20.25" customHeight="1" x14ac:dyDescent="0.2">
      <c r="A183" s="273"/>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28.8" customHeight="1" x14ac:dyDescent="0.2">
      <c r="A196" s="289"/>
      <c r="B196" s="288" t="s">
        <v>142</v>
      </c>
      <c r="C196" s="288"/>
      <c r="D196" s="273" t="s">
        <v>78</v>
      </c>
      <c r="E196" s="254">
        <v>0.13</v>
      </c>
      <c r="F196" s="254">
        <v>0.13</v>
      </c>
      <c r="G196" s="254">
        <v>0.13</v>
      </c>
      <c r="H196" s="254">
        <v>0.13</v>
      </c>
      <c r="I196" s="45"/>
      <c r="J196" s="254">
        <v>0.13</v>
      </c>
      <c r="K196" s="254">
        <v>0.12</v>
      </c>
      <c r="L196" s="254">
        <v>0.12</v>
      </c>
      <c r="M196" s="254">
        <v>0.12</v>
      </c>
      <c r="N196" s="254">
        <v>0.12</v>
      </c>
      <c r="O196" s="45"/>
      <c r="P196" s="254">
        <v>0.12</v>
      </c>
      <c r="Q196" s="254">
        <v>0.11</v>
      </c>
      <c r="R196" s="254">
        <v>0.11</v>
      </c>
      <c r="S196" s="254">
        <v>0.11</v>
      </c>
      <c r="T196" s="254">
        <v>0.11</v>
      </c>
      <c r="U196" s="45"/>
      <c r="V196" s="254">
        <v>0.11</v>
      </c>
      <c r="W196" s="254">
        <v>0.1</v>
      </c>
      <c r="X196" s="254">
        <v>0.1</v>
      </c>
      <c r="Y196" s="254">
        <v>0.1</v>
      </c>
      <c r="Z196" s="254">
        <v>0.1</v>
      </c>
      <c r="AA196" s="45"/>
      <c r="AB196" s="254">
        <v>0.1</v>
      </c>
      <c r="AC196" s="254">
        <v>9.4E-2</v>
      </c>
      <c r="AD196" s="254">
        <v>9.4E-2</v>
      </c>
      <c r="AE196" s="254">
        <v>9.4E-2</v>
      </c>
      <c r="AF196" s="254">
        <v>9.4E-2</v>
      </c>
      <c r="AG196" s="29"/>
      <c r="AH196" s="254">
        <v>9.4E-2</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20.3/(20.3+9.615)</f>
        <v>0.67858933645328434</v>
      </c>
      <c r="X198" s="252">
        <f>20.3/(20.3+9.615)</f>
        <v>0.67858933645328434</v>
      </c>
      <c r="Y198" s="252">
        <f>20.3/(20.3+9.615)</f>
        <v>0.67858933645328434</v>
      </c>
      <c r="Z198" s="252">
        <f>20.3/(20.3+9.615)</f>
        <v>0.67858933645328434</v>
      </c>
      <c r="AA198" s="19"/>
      <c r="AB198" s="252">
        <f>20.3/(20.3+9.615)</f>
        <v>0.67858933645328434</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0.2</v>
      </c>
      <c r="F200" s="250">
        <v>1.2</v>
      </c>
      <c r="G200" s="250">
        <v>2.2000000000000002</v>
      </c>
      <c r="H200" s="250">
        <v>3.2</v>
      </c>
      <c r="I200" s="26"/>
      <c r="J200" s="250">
        <v>0.2</v>
      </c>
      <c r="K200" s="250">
        <v>0.2</v>
      </c>
      <c r="L200" s="250">
        <v>1.2</v>
      </c>
      <c r="M200" s="250">
        <v>2.2000000000000002</v>
      </c>
      <c r="N200" s="250">
        <v>3.2</v>
      </c>
      <c r="O200" s="26"/>
      <c r="P200" s="250">
        <v>0.2</v>
      </c>
      <c r="Q200" s="250">
        <v>0.2</v>
      </c>
      <c r="R200" s="250">
        <v>0.2</v>
      </c>
      <c r="S200" s="250">
        <v>0.2</v>
      </c>
      <c r="T200" s="250">
        <v>0.2</v>
      </c>
      <c r="U200" s="26"/>
      <c r="V200" s="250">
        <v>0.2</v>
      </c>
      <c r="W200" s="250">
        <v>0.2</v>
      </c>
      <c r="X200" s="250">
        <v>0.2</v>
      </c>
      <c r="Y200" s="250">
        <v>0.2</v>
      </c>
      <c r="Z200" s="250">
        <v>0.2</v>
      </c>
      <c r="AA200" s="26"/>
      <c r="AB200" s="250">
        <v>0.2</v>
      </c>
      <c r="AC200" s="250">
        <v>0.2</v>
      </c>
      <c r="AD200" s="250">
        <v>0.2</v>
      </c>
      <c r="AE200" s="250">
        <v>0.2</v>
      </c>
      <c r="AF200" s="250">
        <v>0.2</v>
      </c>
      <c r="AG200" s="26"/>
      <c r="AH200" s="250">
        <v>0.2</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22.8" customHeight="1" x14ac:dyDescent="0.2">
      <c r="A208" s="289"/>
      <c r="B208" s="288" t="s">
        <v>130</v>
      </c>
      <c r="C208" s="288"/>
      <c r="D208" s="273" t="s">
        <v>78</v>
      </c>
      <c r="E208" s="249">
        <f>18/81.69</f>
        <v>0.22034520749173706</v>
      </c>
      <c r="F208" s="249">
        <f>18/81.69</f>
        <v>0.22034520749173706</v>
      </c>
      <c r="G208" s="249">
        <f>18/81.69</f>
        <v>0.22034520749173706</v>
      </c>
      <c r="H208" s="249">
        <f>18/81.69</f>
        <v>0.22034520749173706</v>
      </c>
      <c r="I208" s="19"/>
      <c r="J208" s="249">
        <f>18/81.69</f>
        <v>0.22034520749173706</v>
      </c>
      <c r="K208" s="249">
        <f>18/81.69</f>
        <v>0.22034520749173706</v>
      </c>
      <c r="L208" s="249">
        <f>18/81.69</f>
        <v>0.22034520749173706</v>
      </c>
      <c r="M208" s="249">
        <f>18/81.69</f>
        <v>0.22034520749173706</v>
      </c>
      <c r="N208" s="249">
        <f>18/81.69</f>
        <v>0.22034520749173706</v>
      </c>
      <c r="O208" s="19"/>
      <c r="P208" s="249">
        <f>18/81.69</f>
        <v>0.22034520749173706</v>
      </c>
      <c r="Q208" s="249">
        <f>18/81.69</f>
        <v>0.22034520749173706</v>
      </c>
      <c r="R208" s="249">
        <f>18/81.69</f>
        <v>0.22034520749173706</v>
      </c>
      <c r="S208" s="249">
        <f>18/81.69</f>
        <v>0.22034520749173706</v>
      </c>
      <c r="T208" s="249">
        <f>18/81.69</f>
        <v>0.22034520749173706</v>
      </c>
      <c r="U208" s="19"/>
      <c r="V208" s="249">
        <f>18/81.69</f>
        <v>0.22034520749173706</v>
      </c>
      <c r="W208" s="249">
        <f>(18+9.615)/81.69</f>
        <v>0.33804627249357327</v>
      </c>
      <c r="X208" s="249">
        <f>(18+9.615)/81.69</f>
        <v>0.33804627249357327</v>
      </c>
      <c r="Y208" s="249">
        <f>(18+9.615)/81.69</f>
        <v>0.33804627249357327</v>
      </c>
      <c r="Z208" s="249">
        <f>(18+9.615)/81.69</f>
        <v>0.33804627249357327</v>
      </c>
      <c r="AA208" s="19"/>
      <c r="AB208" s="249">
        <f>(18+9.615)/81.69</f>
        <v>0.33804627249357327</v>
      </c>
      <c r="AC208" s="249">
        <f>(18+9.615)/81.69</f>
        <v>0.33804627249357327</v>
      </c>
      <c r="AD208" s="249">
        <f>(18+9.615)/81.69</f>
        <v>0.33804627249357327</v>
      </c>
      <c r="AE208" s="249">
        <f>(18+9.615)/81.69</f>
        <v>0.33804627249357327</v>
      </c>
      <c r="AF208" s="249">
        <f>(18+9.615)/81.69</f>
        <v>0.33804627249357327</v>
      </c>
      <c r="AG208" s="19"/>
      <c r="AH208" s="249">
        <f>(18+9.615)/81.69</f>
        <v>0.33804627249357327</v>
      </c>
    </row>
    <row r="209" spans="1:34" ht="27"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27" customHeight="1" x14ac:dyDescent="0.2">
      <c r="A210" s="289"/>
      <c r="B210" s="284" t="s">
        <v>131</v>
      </c>
      <c r="C210" s="284"/>
      <c r="D210" s="273" t="s">
        <v>78</v>
      </c>
      <c r="E210" s="249">
        <f>4077/4077</f>
        <v>1</v>
      </c>
      <c r="F210" s="249">
        <f>4077/4077</f>
        <v>1</v>
      </c>
      <c r="G210" s="249">
        <f>4077/4077</f>
        <v>1</v>
      </c>
      <c r="H210" s="249">
        <f>4077/4077</f>
        <v>1</v>
      </c>
      <c r="I210" s="29"/>
      <c r="J210" s="249">
        <f>4077/4077</f>
        <v>1</v>
      </c>
      <c r="K210" s="249">
        <f>2669/2669</f>
        <v>1</v>
      </c>
      <c r="L210" s="249">
        <f>2669/2669</f>
        <v>1</v>
      </c>
      <c r="M210" s="249">
        <f>2669/2669</f>
        <v>1</v>
      </c>
      <c r="N210" s="249">
        <f>2669/2669</f>
        <v>1</v>
      </c>
      <c r="O210" s="2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29"/>
      <c r="J211" s="249"/>
      <c r="K211" s="249"/>
      <c r="L211" s="249"/>
      <c r="M211" s="249"/>
      <c r="N211" s="249"/>
      <c r="O211" s="2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249"/>
      <c r="P213" s="249">
        <v>0</v>
      </c>
      <c r="Q213" s="249">
        <v>0</v>
      </c>
      <c r="R213" s="249">
        <v>0</v>
      </c>
      <c r="S213" s="249">
        <v>0</v>
      </c>
      <c r="T213" s="249">
        <v>0</v>
      </c>
      <c r="U213" s="19"/>
      <c r="V213" s="249">
        <v>0</v>
      </c>
      <c r="W213" s="249">
        <f>18.875/81.69</f>
        <v>0.23105643285591873</v>
      </c>
      <c r="X213" s="249">
        <f>18.875/81.69</f>
        <v>0.23105643285591873</v>
      </c>
      <c r="Y213" s="249">
        <f>18.875/81.69</f>
        <v>0.23105643285591873</v>
      </c>
      <c r="Z213" s="249">
        <f>18.875/81.69</f>
        <v>0.23105643285591873</v>
      </c>
      <c r="AA213" s="19"/>
      <c r="AB213" s="249">
        <f>18.875/81.69</f>
        <v>0.23105643285591873</v>
      </c>
      <c r="AC213" s="249">
        <f>18.875/81.69</f>
        <v>0.23105643285591873</v>
      </c>
      <c r="AD213" s="249">
        <f>18.875/81.69</f>
        <v>0.23105643285591873</v>
      </c>
      <c r="AE213" s="249">
        <f>18.875/81.69</f>
        <v>0.23105643285591873</v>
      </c>
      <c r="AF213" s="249">
        <f>18.875/81.69</f>
        <v>0.23105643285591873</v>
      </c>
      <c r="AG213" s="19"/>
      <c r="AH213" s="249">
        <f>18.875/81.69</f>
        <v>0.23105643285591873</v>
      </c>
    </row>
    <row r="214" spans="1:34" ht="30" customHeight="1" x14ac:dyDescent="0.2">
      <c r="A214" s="289"/>
      <c r="B214" s="284"/>
      <c r="C214" s="284"/>
      <c r="D214" s="273"/>
      <c r="E214" s="249"/>
      <c r="F214" s="249"/>
      <c r="G214" s="249"/>
      <c r="H214" s="249"/>
      <c r="I214" s="19"/>
      <c r="J214" s="249"/>
      <c r="K214" s="249"/>
      <c r="L214" s="249"/>
      <c r="M214" s="249"/>
      <c r="N214" s="249"/>
      <c r="O214" s="249"/>
      <c r="P214" s="249"/>
      <c r="Q214" s="249"/>
      <c r="R214" s="249"/>
      <c r="S214" s="249"/>
      <c r="T214" s="249"/>
      <c r="U214" s="19"/>
      <c r="V214" s="249"/>
      <c r="W214" s="249"/>
      <c r="X214" s="249"/>
      <c r="Y214" s="249"/>
      <c r="Z214" s="249"/>
      <c r="AA214" s="19"/>
      <c r="AB214" s="249"/>
      <c r="AC214" s="249"/>
      <c r="AD214" s="249"/>
      <c r="AE214" s="249"/>
      <c r="AF214" s="249"/>
      <c r="AG214" s="19"/>
      <c r="AH214" s="249"/>
    </row>
    <row r="215" spans="1:34" ht="47.4" customHeight="1"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249"/>
      <c r="P215" s="249">
        <v>0</v>
      </c>
      <c r="Q215" s="249">
        <v>0</v>
      </c>
      <c r="R215" s="249">
        <v>0</v>
      </c>
      <c r="S215" s="249">
        <v>0</v>
      </c>
      <c r="T215" s="249">
        <v>0</v>
      </c>
      <c r="U215" s="19"/>
      <c r="V215" s="249">
        <v>0</v>
      </c>
      <c r="W215" s="249">
        <f>0</f>
        <v>0</v>
      </c>
      <c r="X215" s="249">
        <f>0</f>
        <v>0</v>
      </c>
      <c r="Y215" s="249">
        <f>0</f>
        <v>0</v>
      </c>
      <c r="Z215" s="249">
        <f>0</f>
        <v>0</v>
      </c>
      <c r="AA215" s="19"/>
      <c r="AB215" s="249">
        <f>0</f>
        <v>0</v>
      </c>
      <c r="AC215" s="249">
        <v>1</v>
      </c>
      <c r="AD215" s="249">
        <v>1</v>
      </c>
      <c r="AE215" s="249">
        <v>1</v>
      </c>
      <c r="AF215" s="249">
        <v>1</v>
      </c>
      <c r="AG215" s="19"/>
      <c r="AH215" s="249">
        <v>1</v>
      </c>
    </row>
    <row r="216" spans="1:34" ht="42.6" customHeight="1" x14ac:dyDescent="0.2">
      <c r="A216" s="289"/>
      <c r="B216" s="284"/>
      <c r="C216" s="284"/>
      <c r="D216" s="273"/>
      <c r="E216" s="249"/>
      <c r="F216" s="249"/>
      <c r="G216" s="249"/>
      <c r="H216" s="249"/>
      <c r="I216" s="19"/>
      <c r="J216" s="249"/>
      <c r="K216" s="249"/>
      <c r="L216" s="249"/>
      <c r="M216" s="249"/>
      <c r="N216" s="249"/>
      <c r="O216" s="249"/>
      <c r="P216" s="249"/>
      <c r="Q216" s="249"/>
      <c r="R216" s="249"/>
      <c r="S216" s="249"/>
      <c r="T216" s="249"/>
      <c r="U216" s="19"/>
      <c r="V216" s="249"/>
      <c r="W216" s="249"/>
      <c r="X216" s="249"/>
      <c r="Y216" s="249"/>
      <c r="Z216" s="249"/>
      <c r="AA216" s="19"/>
      <c r="AB216" s="249"/>
      <c r="AC216" s="249"/>
      <c r="AD216" s="249"/>
      <c r="AE216" s="249"/>
      <c r="AF216" s="249"/>
      <c r="AG216" s="19"/>
      <c r="AH216" s="249"/>
    </row>
    <row r="217" spans="1:34" ht="42.6" customHeight="1" x14ac:dyDescent="0.2">
      <c r="A217" s="289"/>
      <c r="B217" s="284" t="s">
        <v>153</v>
      </c>
      <c r="C217" s="284"/>
      <c r="D217" s="25" t="s">
        <v>100</v>
      </c>
      <c r="E217" s="250">
        <v>0</v>
      </c>
      <c r="F217" s="250">
        <v>0</v>
      </c>
      <c r="G217" s="250">
        <v>0</v>
      </c>
      <c r="H217" s="250">
        <v>0</v>
      </c>
      <c r="I217" s="26"/>
      <c r="J217" s="250">
        <v>0</v>
      </c>
      <c r="K217" s="250">
        <v>0</v>
      </c>
      <c r="L217" s="250">
        <v>0</v>
      </c>
      <c r="M217" s="250">
        <v>0</v>
      </c>
      <c r="N217" s="250">
        <v>0</v>
      </c>
      <c r="O217" s="250"/>
      <c r="P217" s="250">
        <v>0</v>
      </c>
      <c r="Q217" s="250">
        <v>0</v>
      </c>
      <c r="R217" s="250">
        <v>0</v>
      </c>
      <c r="S217" s="250">
        <v>0</v>
      </c>
      <c r="T217" s="250">
        <v>0</v>
      </c>
      <c r="U217" s="26"/>
      <c r="V217" s="250">
        <v>0</v>
      </c>
      <c r="W217" s="250">
        <v>0.3</v>
      </c>
      <c r="X217" s="250">
        <v>0.3</v>
      </c>
      <c r="Y217" s="250">
        <v>0.3</v>
      </c>
      <c r="Z217" s="250">
        <v>0.3</v>
      </c>
      <c r="AA217" s="26"/>
      <c r="AB217" s="250">
        <v>0.3</v>
      </c>
      <c r="AC217" s="250">
        <v>0.3</v>
      </c>
      <c r="AD217" s="250">
        <v>0.3</v>
      </c>
      <c r="AE217" s="250">
        <v>0.3</v>
      </c>
      <c r="AF217" s="250">
        <v>0.3</v>
      </c>
      <c r="AG217" s="26"/>
      <c r="AH217" s="250">
        <v>0.3</v>
      </c>
    </row>
    <row r="218" spans="1:34" ht="31.8" customHeight="1" x14ac:dyDescent="0.2">
      <c r="A218" s="289"/>
      <c r="B218" s="284"/>
      <c r="C218" s="284"/>
      <c r="D218" s="19" t="s">
        <v>31</v>
      </c>
      <c r="E218" s="251"/>
      <c r="F218" s="251"/>
      <c r="G218" s="251"/>
      <c r="H218" s="251"/>
      <c r="I218" s="26"/>
      <c r="J218" s="251"/>
      <c r="K218" s="251"/>
      <c r="L218" s="251"/>
      <c r="M218" s="251"/>
      <c r="N218" s="251"/>
      <c r="O218" s="251"/>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v>2027</v>
      </c>
      <c r="Q222" s="22">
        <v>2028</v>
      </c>
      <c r="R222" s="22"/>
      <c r="S222" s="259"/>
      <c r="T222" s="259"/>
      <c r="U222" s="21" t="s">
        <v>5</v>
      </c>
      <c r="V222" s="21">
        <v>2028</v>
      </c>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1786</v>
      </c>
      <c r="F226" s="23">
        <v>1796</v>
      </c>
      <c r="G226" s="23">
        <v>1806</v>
      </c>
      <c r="H226" s="23">
        <v>1816</v>
      </c>
      <c r="I226" s="41"/>
      <c r="J226" s="41">
        <v>1816</v>
      </c>
      <c r="K226" s="23">
        <v>1826</v>
      </c>
      <c r="L226" s="23">
        <v>1836</v>
      </c>
      <c r="M226" s="23">
        <v>1846</v>
      </c>
      <c r="N226" s="23">
        <v>1856</v>
      </c>
      <c r="O226" s="41"/>
      <c r="P226" s="41">
        <v>1856</v>
      </c>
      <c r="Q226" s="23">
        <v>1881</v>
      </c>
      <c r="R226" s="23">
        <v>1906</v>
      </c>
      <c r="S226" s="23">
        <v>1931</v>
      </c>
      <c r="T226" s="23">
        <v>1956</v>
      </c>
      <c r="U226" s="23"/>
      <c r="V226" s="41">
        <v>1956</v>
      </c>
      <c r="W226" s="23">
        <v>2002</v>
      </c>
      <c r="X226" s="23">
        <v>2047</v>
      </c>
      <c r="Y226" s="23">
        <v>2093</v>
      </c>
      <c r="Z226" s="23">
        <v>2138</v>
      </c>
      <c r="AA226" s="41"/>
      <c r="AB226" s="85">
        <v>2138</v>
      </c>
      <c r="AC226" s="23">
        <v>2133</v>
      </c>
      <c r="AD226" s="23">
        <v>2135</v>
      </c>
      <c r="AE226" s="23">
        <v>2136</v>
      </c>
      <c r="AF226" s="23">
        <v>2138</v>
      </c>
      <c r="AG226" s="41"/>
      <c r="AH226" s="85">
        <v>2138</v>
      </c>
    </row>
    <row r="227" spans="1:34" x14ac:dyDescent="0.2">
      <c r="A227" s="289"/>
      <c r="B227" s="284"/>
      <c r="C227" s="284"/>
      <c r="D227" s="25" t="s">
        <v>32</v>
      </c>
      <c r="E227" s="26">
        <v>18</v>
      </c>
      <c r="F227" s="26">
        <v>18</v>
      </c>
      <c r="G227" s="26">
        <v>18</v>
      </c>
      <c r="H227" s="26">
        <v>18</v>
      </c>
      <c r="I227" s="26"/>
      <c r="J227" s="26">
        <v>18</v>
      </c>
      <c r="K227" s="26">
        <v>18</v>
      </c>
      <c r="L227" s="26">
        <v>18</v>
      </c>
      <c r="M227" s="26">
        <v>18</v>
      </c>
      <c r="N227" s="26">
        <v>18</v>
      </c>
      <c r="O227" s="26"/>
      <c r="P227" s="26">
        <v>18</v>
      </c>
      <c r="Q227" s="26">
        <v>18</v>
      </c>
      <c r="R227" s="26">
        <v>18</v>
      </c>
      <c r="S227" s="26">
        <v>18</v>
      </c>
      <c r="T227" s="26">
        <v>18</v>
      </c>
      <c r="U227" s="44"/>
      <c r="V227" s="26">
        <v>18</v>
      </c>
      <c r="W227" s="26">
        <f>18+9.615</f>
        <v>27.615000000000002</v>
      </c>
      <c r="X227" s="26">
        <f t="shared" ref="X227:Z228" si="0">18+9.615</f>
        <v>27.615000000000002</v>
      </c>
      <c r="Y227" s="26">
        <f t="shared" si="0"/>
        <v>27.615000000000002</v>
      </c>
      <c r="Z227" s="26">
        <f t="shared" si="0"/>
        <v>27.615000000000002</v>
      </c>
      <c r="AA227" s="26"/>
      <c r="AB227" s="26">
        <f>18+9.615</f>
        <v>27.615000000000002</v>
      </c>
      <c r="AC227" s="26">
        <f t="shared" ref="AC227:AF228" si="1">18+9.615</f>
        <v>27.615000000000002</v>
      </c>
      <c r="AD227" s="26">
        <f t="shared" si="1"/>
        <v>27.615000000000002</v>
      </c>
      <c r="AE227" s="26">
        <f t="shared" si="1"/>
        <v>27.615000000000002</v>
      </c>
      <c r="AF227" s="26">
        <f t="shared" si="1"/>
        <v>27.615000000000002</v>
      </c>
      <c r="AG227" s="26"/>
      <c r="AH227" s="26">
        <f>18+9.615</f>
        <v>27.615000000000002</v>
      </c>
    </row>
    <row r="228" spans="1:34" ht="15.75" customHeight="1" x14ac:dyDescent="0.2">
      <c r="A228" s="289"/>
      <c r="B228" s="284" t="s">
        <v>46</v>
      </c>
      <c r="C228" s="284"/>
      <c r="D228" s="25" t="s">
        <v>32</v>
      </c>
      <c r="E228" s="26">
        <v>18</v>
      </c>
      <c r="F228" s="26">
        <v>18</v>
      </c>
      <c r="G228" s="26">
        <v>18</v>
      </c>
      <c r="H228" s="26">
        <v>18</v>
      </c>
      <c r="I228" s="26"/>
      <c r="J228" s="26">
        <v>18</v>
      </c>
      <c r="K228" s="26">
        <v>18</v>
      </c>
      <c r="L228" s="26">
        <v>18</v>
      </c>
      <c r="M228" s="26">
        <v>18</v>
      </c>
      <c r="N228" s="26">
        <v>18</v>
      </c>
      <c r="O228" s="26"/>
      <c r="P228" s="26">
        <v>18</v>
      </c>
      <c r="Q228" s="26">
        <v>18</v>
      </c>
      <c r="R228" s="26">
        <v>18</v>
      </c>
      <c r="S228" s="26">
        <v>18</v>
      </c>
      <c r="T228" s="26">
        <v>18</v>
      </c>
      <c r="U228" s="44"/>
      <c r="V228" s="26">
        <v>18</v>
      </c>
      <c r="W228" s="26">
        <f>18+9.615</f>
        <v>27.615000000000002</v>
      </c>
      <c r="X228" s="26">
        <f t="shared" si="0"/>
        <v>27.615000000000002</v>
      </c>
      <c r="Y228" s="26">
        <f t="shared" si="0"/>
        <v>27.615000000000002</v>
      </c>
      <c r="Z228" s="26">
        <f t="shared" si="0"/>
        <v>27.615000000000002</v>
      </c>
      <c r="AA228" s="26"/>
      <c r="AB228" s="26">
        <f>18+9.615</f>
        <v>27.615000000000002</v>
      </c>
      <c r="AC228" s="26">
        <f t="shared" si="1"/>
        <v>27.615000000000002</v>
      </c>
      <c r="AD228" s="26">
        <f t="shared" si="1"/>
        <v>27.615000000000002</v>
      </c>
      <c r="AE228" s="26">
        <f t="shared" si="1"/>
        <v>27.615000000000002</v>
      </c>
      <c r="AF228" s="26">
        <f t="shared" si="1"/>
        <v>27.615000000000002</v>
      </c>
      <c r="AG228" s="26"/>
      <c r="AH228" s="26">
        <f>18+9.615</f>
        <v>27.615000000000002</v>
      </c>
    </row>
    <row r="229" spans="1:34" ht="43.8" customHeight="1" x14ac:dyDescent="0.2">
      <c r="A229" s="289"/>
      <c r="B229" s="284"/>
      <c r="C229" s="284"/>
      <c r="D229" s="25" t="s">
        <v>143</v>
      </c>
      <c r="E229" s="23">
        <v>4141</v>
      </c>
      <c r="F229" s="23">
        <v>4226</v>
      </c>
      <c r="G229" s="23">
        <v>4310</v>
      </c>
      <c r="H229" s="23">
        <v>4395</v>
      </c>
      <c r="I229" s="41"/>
      <c r="J229" s="41">
        <v>4395</v>
      </c>
      <c r="K229" s="23">
        <v>4479.7375000000002</v>
      </c>
      <c r="L229" s="23">
        <v>4564.4750000000004</v>
      </c>
      <c r="M229" s="23">
        <v>4649.2124999999996</v>
      </c>
      <c r="N229" s="23">
        <v>4733.95</v>
      </c>
      <c r="O229" s="41"/>
      <c r="P229" s="41">
        <v>4733.95</v>
      </c>
      <c r="Q229" s="23">
        <v>4696.0600370000002</v>
      </c>
      <c r="R229" s="23">
        <v>4699.5900250000004</v>
      </c>
      <c r="S229" s="23">
        <v>4703.1200120000003</v>
      </c>
      <c r="T229" s="23">
        <v>4706.6499999999996</v>
      </c>
      <c r="U229" s="23"/>
      <c r="V229" s="41">
        <v>4706.6499999999996</v>
      </c>
      <c r="W229" s="23">
        <v>4789.8125</v>
      </c>
      <c r="X229" s="23">
        <v>4872.9750000000004</v>
      </c>
      <c r="Y229" s="23">
        <v>4956.1374999999998</v>
      </c>
      <c r="Z229" s="23">
        <v>5039.3</v>
      </c>
      <c r="AA229" s="41"/>
      <c r="AB229" s="41">
        <v>5039.3</v>
      </c>
      <c r="AC229" s="23">
        <v>5192.9825000000001</v>
      </c>
      <c r="AD229" s="23">
        <v>5346.665</v>
      </c>
      <c r="AE229" s="23">
        <v>5500.3474999999999</v>
      </c>
      <c r="AF229" s="23">
        <v>5654.03</v>
      </c>
      <c r="AG229" s="41"/>
      <c r="AH229" s="41">
        <v>5654.03</v>
      </c>
    </row>
    <row r="230" spans="1:34" ht="15.75" customHeight="1" x14ac:dyDescent="0.2">
      <c r="A230" s="289"/>
      <c r="B230" s="284" t="s">
        <v>47</v>
      </c>
      <c r="C230" s="284"/>
      <c r="D230" s="25" t="s">
        <v>32</v>
      </c>
      <c r="E230" s="45">
        <v>20.3</v>
      </c>
      <c r="F230" s="45">
        <v>20.3</v>
      </c>
      <c r="G230" s="45">
        <v>20.3</v>
      </c>
      <c r="H230" s="45">
        <v>20.3</v>
      </c>
      <c r="I230" s="41"/>
      <c r="J230" s="26">
        <v>20.3</v>
      </c>
      <c r="K230" s="26">
        <v>20.3</v>
      </c>
      <c r="L230" s="26">
        <v>20.3</v>
      </c>
      <c r="M230" s="26">
        <v>20.3</v>
      </c>
      <c r="N230" s="26">
        <v>20.3</v>
      </c>
      <c r="O230" s="26"/>
      <c r="P230" s="26">
        <v>20.3</v>
      </c>
      <c r="Q230" s="26">
        <v>20.3</v>
      </c>
      <c r="R230" s="26">
        <v>20.3</v>
      </c>
      <c r="S230" s="26">
        <v>20.3</v>
      </c>
      <c r="T230" s="26">
        <v>20.3</v>
      </c>
      <c r="U230" s="44"/>
      <c r="V230" s="26">
        <f>20.3+9.615</f>
        <v>29.914999999999999</v>
      </c>
      <c r="W230" s="26">
        <f>20.3+9.615</f>
        <v>29.914999999999999</v>
      </c>
      <c r="X230" s="26">
        <f>20.3+9.615</f>
        <v>29.914999999999999</v>
      </c>
      <c r="Y230" s="26">
        <f>20.3+9.615</f>
        <v>29.914999999999999</v>
      </c>
      <c r="Z230" s="26">
        <f>20.3+9.615</f>
        <v>29.914999999999999</v>
      </c>
      <c r="AA230" s="26"/>
      <c r="AB230" s="26">
        <f>20.3+9.615</f>
        <v>29.914999999999999</v>
      </c>
      <c r="AC230" s="26">
        <f>20.3+9.615</f>
        <v>29.914999999999999</v>
      </c>
      <c r="AD230" s="26">
        <f>20.3+9.615</f>
        <v>29.914999999999999</v>
      </c>
      <c r="AE230" s="26">
        <f>20.3+9.615</f>
        <v>29.914999999999999</v>
      </c>
      <c r="AF230" s="26">
        <f>20.3+9.615</f>
        <v>29.914999999999999</v>
      </c>
      <c r="AG230" s="26"/>
      <c r="AH230" s="58">
        <f>AB230</f>
        <v>29.914999999999999</v>
      </c>
    </row>
    <row r="231" spans="1:34" x14ac:dyDescent="0.2">
      <c r="A231" s="289"/>
      <c r="B231" s="284"/>
      <c r="C231" s="284"/>
      <c r="D231" s="25" t="s">
        <v>143</v>
      </c>
      <c r="E231" s="23">
        <v>4141</v>
      </c>
      <c r="F231" s="23">
        <v>4226</v>
      </c>
      <c r="G231" s="23">
        <v>4310</v>
      </c>
      <c r="H231" s="23">
        <v>4395</v>
      </c>
      <c r="I231" s="41"/>
      <c r="J231" s="41">
        <v>4395</v>
      </c>
      <c r="K231" s="23">
        <v>4479.7375000000002</v>
      </c>
      <c r="L231" s="23">
        <v>4564.4750000000004</v>
      </c>
      <c r="M231" s="23">
        <v>4649.2124999999996</v>
      </c>
      <c r="N231" s="23">
        <v>4733.95</v>
      </c>
      <c r="O231" s="41"/>
      <c r="P231" s="41">
        <v>4733.95</v>
      </c>
      <c r="Q231" s="23">
        <v>4696.0600370000002</v>
      </c>
      <c r="R231" s="23">
        <v>4699.5900250000004</v>
      </c>
      <c r="S231" s="23">
        <v>4703.1200120000003</v>
      </c>
      <c r="T231" s="23">
        <v>4706.6499999999996</v>
      </c>
      <c r="U231" s="23"/>
      <c r="V231" s="41">
        <v>4706.6499999999996</v>
      </c>
      <c r="W231" s="23">
        <v>4789.8125</v>
      </c>
      <c r="X231" s="23">
        <v>4872.9750000000004</v>
      </c>
      <c r="Y231" s="23">
        <v>4956.1374999999998</v>
      </c>
      <c r="Z231" s="23">
        <v>5039.3</v>
      </c>
      <c r="AA231" s="41"/>
      <c r="AB231" s="41">
        <v>5039.3</v>
      </c>
      <c r="AC231" s="23">
        <v>5192.9825000000001</v>
      </c>
      <c r="AD231" s="23">
        <v>5346.665</v>
      </c>
      <c r="AE231" s="23">
        <v>5500.3474999999999</v>
      </c>
      <c r="AF231" s="23">
        <v>5654.03</v>
      </c>
      <c r="AG231" s="41"/>
      <c r="AH231" s="41">
        <v>5654.03</v>
      </c>
    </row>
    <row r="232" spans="1:34" x14ac:dyDescent="0.2">
      <c r="A232" s="289"/>
      <c r="B232" s="284" t="s">
        <v>36</v>
      </c>
      <c r="C232" s="284"/>
      <c r="D232" s="25" t="s">
        <v>144</v>
      </c>
      <c r="E232" s="23">
        <v>0</v>
      </c>
      <c r="F232" s="23">
        <v>0</v>
      </c>
      <c r="G232" s="23">
        <v>0</v>
      </c>
      <c r="H232" s="23">
        <v>0</v>
      </c>
      <c r="I232" s="41"/>
      <c r="J232" s="41">
        <v>0</v>
      </c>
      <c r="K232" s="41">
        <v>0</v>
      </c>
      <c r="L232" s="41">
        <v>0</v>
      </c>
      <c r="M232" s="41">
        <v>0</v>
      </c>
      <c r="N232" s="41">
        <v>0</v>
      </c>
      <c r="O232" s="41"/>
      <c r="P232" s="41">
        <v>0</v>
      </c>
      <c r="Q232" s="41">
        <v>0</v>
      </c>
      <c r="R232" s="41">
        <v>0</v>
      </c>
      <c r="S232" s="41">
        <v>0</v>
      </c>
      <c r="T232" s="41">
        <v>0</v>
      </c>
      <c r="U232" s="41"/>
      <c r="V232" s="41">
        <v>0</v>
      </c>
      <c r="W232" s="23">
        <v>224</v>
      </c>
      <c r="X232" s="23">
        <v>447</v>
      </c>
      <c r="Y232" s="23">
        <v>671</v>
      </c>
      <c r="Z232" s="23">
        <v>894</v>
      </c>
      <c r="AA232" s="41"/>
      <c r="AB232" s="41">
        <v>894</v>
      </c>
      <c r="AC232" s="23">
        <v>892</v>
      </c>
      <c r="AD232" s="23">
        <v>893</v>
      </c>
      <c r="AE232" s="23">
        <v>893</v>
      </c>
      <c r="AF232" s="23">
        <v>894</v>
      </c>
      <c r="AG232" s="41"/>
      <c r="AH232" s="41">
        <v>894</v>
      </c>
    </row>
    <row r="233" spans="1:34" ht="24" customHeight="1" x14ac:dyDescent="0.2">
      <c r="A233" s="289"/>
      <c r="B233" s="284"/>
      <c r="C233" s="284"/>
      <c r="D233" s="25" t="s">
        <v>32</v>
      </c>
      <c r="E233" s="23">
        <v>0</v>
      </c>
      <c r="F233" s="23">
        <v>0</v>
      </c>
      <c r="G233" s="23">
        <v>0</v>
      </c>
      <c r="H233" s="23">
        <v>0</v>
      </c>
      <c r="I233" s="41"/>
      <c r="J233" s="26">
        <v>0</v>
      </c>
      <c r="K233" s="26">
        <v>0</v>
      </c>
      <c r="L233" s="26">
        <v>0</v>
      </c>
      <c r="M233" s="26">
        <v>0</v>
      </c>
      <c r="N233" s="26">
        <v>0</v>
      </c>
      <c r="O233" s="41"/>
      <c r="P233" s="26">
        <v>0</v>
      </c>
      <c r="Q233" s="26">
        <v>0</v>
      </c>
      <c r="R233" s="26">
        <v>0</v>
      </c>
      <c r="S233" s="26">
        <v>0</v>
      </c>
      <c r="T233" s="26">
        <v>0</v>
      </c>
      <c r="U233" s="41"/>
      <c r="V233" s="26">
        <v>0</v>
      </c>
      <c r="W233" s="23">
        <v>4.71875</v>
      </c>
      <c r="X233" s="23">
        <v>9.4375</v>
      </c>
      <c r="Y233" s="23">
        <v>14.15625</v>
      </c>
      <c r="Z233" s="23">
        <v>18.875</v>
      </c>
      <c r="AA233" s="41"/>
      <c r="AB233" s="26">
        <v>18.875</v>
      </c>
      <c r="AC233" s="23">
        <v>18.832530999999999</v>
      </c>
      <c r="AD233" s="23">
        <v>18.846688</v>
      </c>
      <c r="AE233" s="23">
        <v>18.860844</v>
      </c>
      <c r="AF233" s="23">
        <v>18.875</v>
      </c>
      <c r="AG233" s="41"/>
      <c r="AH233" s="26">
        <v>18.875</v>
      </c>
    </row>
    <row r="234" spans="1:34" x14ac:dyDescent="0.2">
      <c r="A234" s="289"/>
      <c r="B234" s="284" t="s">
        <v>48</v>
      </c>
      <c r="C234" s="284"/>
      <c r="D234" s="24" t="s">
        <v>143</v>
      </c>
      <c r="E234" s="23">
        <v>0</v>
      </c>
      <c r="F234" s="23">
        <v>0</v>
      </c>
      <c r="G234" s="23">
        <v>0</v>
      </c>
      <c r="H234" s="23">
        <v>0</v>
      </c>
      <c r="I234" s="41"/>
      <c r="J234" s="47">
        <f>J235*0</f>
        <v>0</v>
      </c>
      <c r="K234" s="47">
        <f>K235*0</f>
        <v>0</v>
      </c>
      <c r="L234" s="47">
        <f>L235*0</f>
        <v>0</v>
      </c>
      <c r="M234" s="47">
        <f>M235*0</f>
        <v>0</v>
      </c>
      <c r="N234" s="47">
        <f>N235*0</f>
        <v>0</v>
      </c>
      <c r="O234" s="41"/>
      <c r="P234" s="41">
        <v>0</v>
      </c>
      <c r="Q234" s="41">
        <v>0</v>
      </c>
      <c r="R234" s="41">
        <v>0</v>
      </c>
      <c r="S234" s="41">
        <v>0</v>
      </c>
      <c r="T234" s="41">
        <v>0</v>
      </c>
      <c r="U234" s="41"/>
      <c r="V234" s="41">
        <v>0</v>
      </c>
      <c r="W234" s="23">
        <v>899.875</v>
      </c>
      <c r="X234" s="23">
        <v>1799.75</v>
      </c>
      <c r="Y234" s="23">
        <v>2699.625</v>
      </c>
      <c r="Z234" s="23">
        <v>3599.5</v>
      </c>
      <c r="AA234" s="41"/>
      <c r="AB234" s="41">
        <v>3599.5</v>
      </c>
      <c r="AC234" s="23">
        <v>4095.24</v>
      </c>
      <c r="AD234" s="23">
        <v>4590.9799999999996</v>
      </c>
      <c r="AE234" s="23">
        <v>5086.72</v>
      </c>
      <c r="AF234" s="23">
        <v>5582.46</v>
      </c>
      <c r="AG234" s="41"/>
      <c r="AH234" s="41">
        <v>5582.46</v>
      </c>
    </row>
    <row r="235" spans="1:34" x14ac:dyDescent="0.2">
      <c r="A235" s="289"/>
      <c r="B235" s="284"/>
      <c r="C235" s="284"/>
      <c r="D235" s="24" t="s">
        <v>143</v>
      </c>
      <c r="E235" s="47">
        <f>7367-42</f>
        <v>7325</v>
      </c>
      <c r="F235" s="47">
        <f>7367-42</f>
        <v>7325</v>
      </c>
      <c r="G235" s="47">
        <f>7367-42</f>
        <v>7325</v>
      </c>
      <c r="H235" s="47">
        <f>7367-42</f>
        <v>7325</v>
      </c>
      <c r="I235" s="41"/>
      <c r="J235" s="47">
        <f>7367-42</f>
        <v>7325</v>
      </c>
      <c r="K235" s="41">
        <f>E235-42</f>
        <v>7283</v>
      </c>
      <c r="L235" s="41">
        <f>F235-42</f>
        <v>7283</v>
      </c>
      <c r="M235" s="41">
        <f>G235-42</f>
        <v>7283</v>
      </c>
      <c r="N235" s="41">
        <f>H235-42</f>
        <v>7283</v>
      </c>
      <c r="O235" s="41"/>
      <c r="P235" s="41">
        <f>J235-42</f>
        <v>7283</v>
      </c>
      <c r="Q235" s="41">
        <f>K235-42</f>
        <v>7241</v>
      </c>
      <c r="R235" s="41">
        <f>L235-42</f>
        <v>7241</v>
      </c>
      <c r="S235" s="41">
        <f>M235-42</f>
        <v>7241</v>
      </c>
      <c r="T235" s="41">
        <f>N235-42</f>
        <v>7241</v>
      </c>
      <c r="U235" s="41"/>
      <c r="V235" s="41">
        <f>P235-42</f>
        <v>7241</v>
      </c>
      <c r="W235" s="41">
        <f>Q235-42</f>
        <v>7199</v>
      </c>
      <c r="X235" s="41">
        <f>R235-42</f>
        <v>7199</v>
      </c>
      <c r="Y235" s="41">
        <f>S235-42</f>
        <v>7199</v>
      </c>
      <c r="Z235" s="41">
        <f>T235-42</f>
        <v>7199</v>
      </c>
      <c r="AA235" s="41"/>
      <c r="AB235" s="41">
        <f>V235-42</f>
        <v>7199</v>
      </c>
      <c r="AC235" s="41">
        <f>W235-42</f>
        <v>7157</v>
      </c>
      <c r="AD235" s="41">
        <f>X235-42</f>
        <v>7157</v>
      </c>
      <c r="AE235" s="41">
        <f>Y235-42</f>
        <v>7157</v>
      </c>
      <c r="AF235" s="41">
        <f>Z235-42</f>
        <v>7157</v>
      </c>
      <c r="AG235" s="41"/>
      <c r="AH235" s="41">
        <f>AB235-42</f>
        <v>7157</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952">
    <mergeCell ref="J253:J254"/>
    <mergeCell ref="P253:P254"/>
    <mergeCell ref="V253:V254"/>
    <mergeCell ref="AB253:AB254"/>
    <mergeCell ref="AH253:AH254"/>
    <mergeCell ref="J249:J250"/>
    <mergeCell ref="P249:P250"/>
    <mergeCell ref="V249:V250"/>
    <mergeCell ref="AB249:AB250"/>
    <mergeCell ref="AH249:AH250"/>
    <mergeCell ref="V251:V252"/>
    <mergeCell ref="AB251:AB252"/>
    <mergeCell ref="AH251:AH252"/>
    <mergeCell ref="J245:J246"/>
    <mergeCell ref="P245:P246"/>
    <mergeCell ref="V245:V246"/>
    <mergeCell ref="AB245:AB246"/>
    <mergeCell ref="AH245:AH246"/>
    <mergeCell ref="V247:V248"/>
    <mergeCell ref="AB247:AB248"/>
    <mergeCell ref="AH247:AH248"/>
    <mergeCell ref="AH241:AH242"/>
    <mergeCell ref="V243:V244"/>
    <mergeCell ref="AB243:AB244"/>
    <mergeCell ref="AH243:AH244"/>
    <mergeCell ref="J237:J238"/>
    <mergeCell ref="P237:P238"/>
    <mergeCell ref="V237:V238"/>
    <mergeCell ref="AB237:AB238"/>
    <mergeCell ref="AH237:AH238"/>
    <mergeCell ref="V239:V240"/>
    <mergeCell ref="AB239:AB240"/>
    <mergeCell ref="AH239:AH240"/>
    <mergeCell ref="J217:J218"/>
    <mergeCell ref="P217:P218"/>
    <mergeCell ref="V217:V218"/>
    <mergeCell ref="AB217:AB218"/>
    <mergeCell ref="AH217:AH218"/>
    <mergeCell ref="Z237:Z238"/>
    <mergeCell ref="AC237:AC238"/>
    <mergeCell ref="AD237:AD238"/>
    <mergeCell ref="AE237:AE238"/>
    <mergeCell ref="AF237:AF238"/>
    <mergeCell ref="Z239:Z240"/>
    <mergeCell ref="AC239:AC240"/>
    <mergeCell ref="AD239:AD240"/>
    <mergeCell ref="AE239:AE240"/>
    <mergeCell ref="AF239:AF240"/>
    <mergeCell ref="AD241:AD242"/>
    <mergeCell ref="AE241:AE242"/>
    <mergeCell ref="AF241:AF242"/>
    <mergeCell ref="J241:J242"/>
    <mergeCell ref="P241:P242"/>
    <mergeCell ref="J210:J211"/>
    <mergeCell ref="P210:P211"/>
    <mergeCell ref="V210:V211"/>
    <mergeCell ref="AB210:AB211"/>
    <mergeCell ref="AH210:AH211"/>
    <mergeCell ref="AH215:AH216"/>
    <mergeCell ref="J213:J214"/>
    <mergeCell ref="P213:P214"/>
    <mergeCell ref="V213:V214"/>
    <mergeCell ref="AB213:AB214"/>
    <mergeCell ref="W210:W211"/>
    <mergeCell ref="AC210:AC211"/>
    <mergeCell ref="AD210:AD211"/>
    <mergeCell ref="AE210:AE211"/>
    <mergeCell ref="AF210:AF211"/>
    <mergeCell ref="K213:K214"/>
    <mergeCell ref="L213:L214"/>
    <mergeCell ref="M213:M214"/>
    <mergeCell ref="N213:N214"/>
    <mergeCell ref="O213:O214"/>
    <mergeCell ref="K215:K216"/>
    <mergeCell ref="L215:L216"/>
    <mergeCell ref="V206:V207"/>
    <mergeCell ref="AB206:AB207"/>
    <mergeCell ref="AH206:AH207"/>
    <mergeCell ref="J208:J209"/>
    <mergeCell ref="P208:P209"/>
    <mergeCell ref="V208:V209"/>
    <mergeCell ref="AB208:AB209"/>
    <mergeCell ref="AH208:AH209"/>
    <mergeCell ref="AH202:AH203"/>
    <mergeCell ref="D204:D205"/>
    <mergeCell ref="J204:J205"/>
    <mergeCell ref="P204:P205"/>
    <mergeCell ref="V204:V205"/>
    <mergeCell ref="AB204:AB205"/>
    <mergeCell ref="AH204:AH205"/>
    <mergeCell ref="AC204:AC205"/>
    <mergeCell ref="AD204:AD205"/>
    <mergeCell ref="AE204:AE205"/>
    <mergeCell ref="E204:E205"/>
    <mergeCell ref="E206:E207"/>
    <mergeCell ref="E208:E209"/>
    <mergeCell ref="W204:W205"/>
    <mergeCell ref="W206:W207"/>
    <mergeCell ref="W208:W209"/>
    <mergeCell ref="AC208:AC209"/>
    <mergeCell ref="AD208:AD209"/>
    <mergeCell ref="AE208:AE209"/>
    <mergeCell ref="AF208:AF209"/>
    <mergeCell ref="F206:F207"/>
    <mergeCell ref="G206:G207"/>
    <mergeCell ref="V200:V201"/>
    <mergeCell ref="AB200:AB201"/>
    <mergeCell ref="AH200:AH201"/>
    <mergeCell ref="D202:D203"/>
    <mergeCell ref="J202:J203"/>
    <mergeCell ref="P202:P203"/>
    <mergeCell ref="V202:V203"/>
    <mergeCell ref="AB202:AB203"/>
    <mergeCell ref="J196:J197"/>
    <mergeCell ref="P196:P197"/>
    <mergeCell ref="V196:V197"/>
    <mergeCell ref="AB196:AB197"/>
    <mergeCell ref="AH196:AH197"/>
    <mergeCell ref="J198:J199"/>
    <mergeCell ref="P198:P199"/>
    <mergeCell ref="V198:V199"/>
    <mergeCell ref="AB198:AB199"/>
    <mergeCell ref="AH198:AH199"/>
    <mergeCell ref="E196:E197"/>
    <mergeCell ref="E198:E199"/>
    <mergeCell ref="E200:E201"/>
    <mergeCell ref="E202:E203"/>
    <mergeCell ref="W196:W197"/>
    <mergeCell ref="W198:W199"/>
    <mergeCell ref="W200:W201"/>
    <mergeCell ref="W202:W203"/>
    <mergeCell ref="AC196:AC197"/>
    <mergeCell ref="AD196:AD197"/>
    <mergeCell ref="AE196:AE197"/>
    <mergeCell ref="AF196:AF197"/>
    <mergeCell ref="AH190:AH191"/>
    <mergeCell ref="J192:J193"/>
    <mergeCell ref="P192:P193"/>
    <mergeCell ref="V192:V193"/>
    <mergeCell ref="AB192:AB193"/>
    <mergeCell ref="AH192:AH193"/>
    <mergeCell ref="L190:L191"/>
    <mergeCell ref="M190:M191"/>
    <mergeCell ref="N190:N191"/>
    <mergeCell ref="Q190:Q191"/>
    <mergeCell ref="J185:J186"/>
    <mergeCell ref="P185:P186"/>
    <mergeCell ref="V185:V186"/>
    <mergeCell ref="AB185:AB186"/>
    <mergeCell ref="AH185:AH186"/>
    <mergeCell ref="J187:J188"/>
    <mergeCell ref="P187:P188"/>
    <mergeCell ref="V187:V188"/>
    <mergeCell ref="AB187:AB188"/>
    <mergeCell ref="AH187:AH188"/>
    <mergeCell ref="AD185:AD186"/>
    <mergeCell ref="AE185:AE186"/>
    <mergeCell ref="AF185:AF186"/>
    <mergeCell ref="AD187:AD188"/>
    <mergeCell ref="AE187:AE188"/>
    <mergeCell ref="AF187:AF188"/>
    <mergeCell ref="AC192:AC193"/>
    <mergeCell ref="AD192:AD193"/>
    <mergeCell ref="AE192:AE193"/>
    <mergeCell ref="AF192:AF193"/>
    <mergeCell ref="B189:AH189"/>
    <mergeCell ref="J190:J191"/>
    <mergeCell ref="AH181:AH182"/>
    <mergeCell ref="J183:J184"/>
    <mergeCell ref="P183:P184"/>
    <mergeCell ref="V183:V184"/>
    <mergeCell ref="AB183:AB184"/>
    <mergeCell ref="AH183:AH184"/>
    <mergeCell ref="J177:J178"/>
    <mergeCell ref="P177:P178"/>
    <mergeCell ref="V177:V178"/>
    <mergeCell ref="AB177:AB178"/>
    <mergeCell ref="AH177:AH178"/>
    <mergeCell ref="J179:J180"/>
    <mergeCell ref="P179:P180"/>
    <mergeCell ref="V179:V180"/>
    <mergeCell ref="AB179:AB180"/>
    <mergeCell ref="AH179:AH180"/>
    <mergeCell ref="AD177:AD178"/>
    <mergeCell ref="AE177:AE178"/>
    <mergeCell ref="AF177:AF178"/>
    <mergeCell ref="AD179:AD180"/>
    <mergeCell ref="AE179:AE180"/>
    <mergeCell ref="AF179:AF180"/>
    <mergeCell ref="AD181:AD182"/>
    <mergeCell ref="AE181:AE182"/>
    <mergeCell ref="AF181:AF182"/>
    <mergeCell ref="AD183:AD184"/>
    <mergeCell ref="AE183:AE184"/>
    <mergeCell ref="AF183:AF184"/>
    <mergeCell ref="AH173:AH174"/>
    <mergeCell ref="J175:J176"/>
    <mergeCell ref="P175:P176"/>
    <mergeCell ref="V175:V176"/>
    <mergeCell ref="AB175:AB176"/>
    <mergeCell ref="AH175:AH176"/>
    <mergeCell ref="J169:J170"/>
    <mergeCell ref="P169:P170"/>
    <mergeCell ref="V169:V170"/>
    <mergeCell ref="AB169:AB170"/>
    <mergeCell ref="AH169:AH170"/>
    <mergeCell ref="J171:J172"/>
    <mergeCell ref="P171:P172"/>
    <mergeCell ref="V171:V172"/>
    <mergeCell ref="AB171:AB172"/>
    <mergeCell ref="AH171:AH172"/>
    <mergeCell ref="AD169:AD170"/>
    <mergeCell ref="AE169:AE170"/>
    <mergeCell ref="AF169:AF170"/>
    <mergeCell ref="AD171:AD172"/>
    <mergeCell ref="AE171:AE172"/>
    <mergeCell ref="AF171:AF172"/>
    <mergeCell ref="AD173:AD174"/>
    <mergeCell ref="AE173:AE174"/>
    <mergeCell ref="AF173:AF174"/>
    <mergeCell ref="AD175:AD176"/>
    <mergeCell ref="AE175:AE176"/>
    <mergeCell ref="AF175:AF176"/>
    <mergeCell ref="AH165:AH166"/>
    <mergeCell ref="J167:J168"/>
    <mergeCell ref="P167:P168"/>
    <mergeCell ref="V167:V168"/>
    <mergeCell ref="AB167:AB168"/>
    <mergeCell ref="AH167:AH168"/>
    <mergeCell ref="J161:J162"/>
    <mergeCell ref="P161:P162"/>
    <mergeCell ref="V161:V162"/>
    <mergeCell ref="AB161:AB162"/>
    <mergeCell ref="AH161:AH162"/>
    <mergeCell ref="J163:J164"/>
    <mergeCell ref="P163:P164"/>
    <mergeCell ref="V163:V164"/>
    <mergeCell ref="AB163:AB164"/>
    <mergeCell ref="AH163:AH164"/>
    <mergeCell ref="AD161:AD162"/>
    <mergeCell ref="AE161:AE162"/>
    <mergeCell ref="AF161:AF162"/>
    <mergeCell ref="AD163:AD164"/>
    <mergeCell ref="AE163:AE164"/>
    <mergeCell ref="AF163:AF164"/>
    <mergeCell ref="AD165:AD166"/>
    <mergeCell ref="AE165:AE166"/>
    <mergeCell ref="AF165:AF166"/>
    <mergeCell ref="AD167:AD168"/>
    <mergeCell ref="AE167:AE168"/>
    <mergeCell ref="AF167:AF168"/>
    <mergeCell ref="AH157:AH158"/>
    <mergeCell ref="J159:J160"/>
    <mergeCell ref="P159:P160"/>
    <mergeCell ref="V159:V160"/>
    <mergeCell ref="AB159:AB160"/>
    <mergeCell ref="AH159:AH160"/>
    <mergeCell ref="J153:J154"/>
    <mergeCell ref="P153:P154"/>
    <mergeCell ref="V153:V154"/>
    <mergeCell ref="AB153:AB154"/>
    <mergeCell ref="AH153:AH154"/>
    <mergeCell ref="J155:J156"/>
    <mergeCell ref="P155:P156"/>
    <mergeCell ref="V155:V156"/>
    <mergeCell ref="AB155:AB156"/>
    <mergeCell ref="AH155:AH156"/>
    <mergeCell ref="AD155:AD156"/>
    <mergeCell ref="AE155:AE156"/>
    <mergeCell ref="AF155:AF156"/>
    <mergeCell ref="AD157:AD158"/>
    <mergeCell ref="AE157:AE158"/>
    <mergeCell ref="AF157:AF158"/>
    <mergeCell ref="AD159:AD160"/>
    <mergeCell ref="AE159:AE160"/>
    <mergeCell ref="AF159:AF160"/>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Y141:Y142"/>
    <mergeCell ref="Z141:Z142"/>
    <mergeCell ref="AA141:AA142"/>
    <mergeCell ref="AC141:AC142"/>
    <mergeCell ref="AD141:AD142"/>
    <mergeCell ref="AE141:AE142"/>
    <mergeCell ref="AF141:AF142"/>
    <mergeCell ref="AG141:AG142"/>
    <mergeCell ref="Y146:Y147"/>
    <mergeCell ref="Z146:Z147"/>
    <mergeCell ref="AA146:AA147"/>
    <mergeCell ref="AC146:AC147"/>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Y135:Y136"/>
    <mergeCell ref="Z135:Z136"/>
    <mergeCell ref="AA135:AA136"/>
    <mergeCell ref="AC135:AC136"/>
    <mergeCell ref="AD135:AD136"/>
    <mergeCell ref="AE135:AE136"/>
    <mergeCell ref="AF135:AF136"/>
    <mergeCell ref="AG135:AG136"/>
    <mergeCell ref="Y137:Y138"/>
    <mergeCell ref="Z137:Z138"/>
    <mergeCell ref="AA137:AA138"/>
    <mergeCell ref="AC137:AC138"/>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B124:AH124"/>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6:AD107"/>
    <mergeCell ref="AE106:AE107"/>
    <mergeCell ref="AF106:AF107"/>
    <mergeCell ref="AD110:AD111"/>
    <mergeCell ref="AE110:AE111"/>
    <mergeCell ref="AF110:AF111"/>
    <mergeCell ref="AD112:AD113"/>
    <mergeCell ref="AE112:AE113"/>
    <mergeCell ref="AF112:AF113"/>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E96:E97"/>
    <mergeCell ref="F96:F97"/>
    <mergeCell ref="G96:G97"/>
    <mergeCell ref="E98:E99"/>
    <mergeCell ref="F98:F99"/>
    <mergeCell ref="G98:G99"/>
    <mergeCell ref="H98:H99"/>
    <mergeCell ref="K98:K99"/>
    <mergeCell ref="L98:L99"/>
    <mergeCell ref="M98:M99"/>
    <mergeCell ref="N98:N99"/>
    <mergeCell ref="Q98:Q99"/>
    <mergeCell ref="R98:R99"/>
    <mergeCell ref="S98:S99"/>
    <mergeCell ref="T98:T99"/>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AD85:AD86"/>
    <mergeCell ref="AE85:AE86"/>
    <mergeCell ref="AF85:AF86"/>
    <mergeCell ref="AD87:AD88"/>
    <mergeCell ref="AE87:AE88"/>
    <mergeCell ref="AF87:AF88"/>
    <mergeCell ref="B80:AH80"/>
    <mergeCell ref="D74:D75"/>
    <mergeCell ref="J74:J75"/>
    <mergeCell ref="P74:P75"/>
    <mergeCell ref="V74:V75"/>
    <mergeCell ref="AB74:AB75"/>
    <mergeCell ref="AH74:AH75"/>
    <mergeCell ref="Q74:Q75"/>
    <mergeCell ref="R74:R75"/>
    <mergeCell ref="S74:S75"/>
    <mergeCell ref="T74:T75"/>
    <mergeCell ref="D71:D72"/>
    <mergeCell ref="J71:J72"/>
    <mergeCell ref="P71:P72"/>
    <mergeCell ref="V71:V72"/>
    <mergeCell ref="AB71:AB72"/>
    <mergeCell ref="AH71:AH72"/>
    <mergeCell ref="Q71:Q72"/>
    <mergeCell ref="R71:R72"/>
    <mergeCell ref="S71:S72"/>
    <mergeCell ref="T71:T72"/>
    <mergeCell ref="E74:E75"/>
    <mergeCell ref="F74:F75"/>
    <mergeCell ref="G74:G75"/>
    <mergeCell ref="H74:H75"/>
    <mergeCell ref="K74:K75"/>
    <mergeCell ref="L74:L75"/>
    <mergeCell ref="M74:M75"/>
    <mergeCell ref="N74:N75"/>
    <mergeCell ref="W74:W75"/>
    <mergeCell ref="X74:X75"/>
    <mergeCell ref="Y74:Y75"/>
    <mergeCell ref="Z74:Z75"/>
    <mergeCell ref="D69:D70"/>
    <mergeCell ref="J69:J70"/>
    <mergeCell ref="P69:P70"/>
    <mergeCell ref="V69:V70"/>
    <mergeCell ref="AB69:AB70"/>
    <mergeCell ref="AH69:AH70"/>
    <mergeCell ref="Q69:Q70"/>
    <mergeCell ref="R69:R70"/>
    <mergeCell ref="S69:S70"/>
    <mergeCell ref="T69:T70"/>
    <mergeCell ref="D67:D68"/>
    <mergeCell ref="J67:J68"/>
    <mergeCell ref="P67:P68"/>
    <mergeCell ref="V67:V68"/>
    <mergeCell ref="AB67:AB68"/>
    <mergeCell ref="AH67:AH68"/>
    <mergeCell ref="Q67:Q68"/>
    <mergeCell ref="R67:R68"/>
    <mergeCell ref="S67:S68"/>
    <mergeCell ref="T67:T68"/>
    <mergeCell ref="E69:E70"/>
    <mergeCell ref="F69:F70"/>
    <mergeCell ref="G69:G70"/>
    <mergeCell ref="H69:H70"/>
    <mergeCell ref="K69:K70"/>
    <mergeCell ref="L69:L70"/>
    <mergeCell ref="M69:M70"/>
    <mergeCell ref="N69:N70"/>
    <mergeCell ref="W69:W70"/>
    <mergeCell ref="X69:X70"/>
    <mergeCell ref="Y69:Y70"/>
    <mergeCell ref="Z69:Z70"/>
    <mergeCell ref="D65:D66"/>
    <mergeCell ref="J65:J66"/>
    <mergeCell ref="P65:P66"/>
    <mergeCell ref="V65:V66"/>
    <mergeCell ref="AB65:AB66"/>
    <mergeCell ref="AH65:AH66"/>
    <mergeCell ref="Q65:Q66"/>
    <mergeCell ref="R65:R66"/>
    <mergeCell ref="S65:S66"/>
    <mergeCell ref="T65:T66"/>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E61:E62"/>
    <mergeCell ref="F61:F62"/>
    <mergeCell ref="G61:G62"/>
    <mergeCell ref="H61:H62"/>
    <mergeCell ref="K61:K62"/>
    <mergeCell ref="L61:L62"/>
    <mergeCell ref="M61:M62"/>
    <mergeCell ref="N61:N62"/>
    <mergeCell ref="Q61:Q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L56:L57"/>
    <mergeCell ref="M56:M57"/>
    <mergeCell ref="N56:N57"/>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E50:E51"/>
    <mergeCell ref="F50:F51"/>
    <mergeCell ref="G50:G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M42:M43"/>
    <mergeCell ref="N42:N43"/>
    <mergeCell ref="Q42:Q43"/>
    <mergeCell ref="AH35:AH36"/>
    <mergeCell ref="D37:D38"/>
    <mergeCell ref="J37:J38"/>
    <mergeCell ref="O37:O38"/>
    <mergeCell ref="P37:P38"/>
    <mergeCell ref="V37:V38"/>
    <mergeCell ref="AB37:AB38"/>
    <mergeCell ref="AH37:AH38"/>
    <mergeCell ref="D35:D36"/>
    <mergeCell ref="I35:I36"/>
    <mergeCell ref="J35:J36"/>
    <mergeCell ref="O35:O36"/>
    <mergeCell ref="P35:P36"/>
    <mergeCell ref="V35:V36"/>
    <mergeCell ref="AB31:AB32"/>
    <mergeCell ref="I31:I32"/>
    <mergeCell ref="J31:J32"/>
    <mergeCell ref="O31:O32"/>
    <mergeCell ref="P31:P32"/>
    <mergeCell ref="AH31:AH32"/>
    <mergeCell ref="D33:D34"/>
    <mergeCell ref="I33:I34"/>
    <mergeCell ref="J33:J34"/>
    <mergeCell ref="O33:O34"/>
    <mergeCell ref="P33:P34"/>
    <mergeCell ref="V33:V34"/>
    <mergeCell ref="AB33:AB34"/>
    <mergeCell ref="AH33:AH34"/>
    <mergeCell ref="D31:D32"/>
    <mergeCell ref="E33:E34"/>
    <mergeCell ref="F33:F34"/>
    <mergeCell ref="G33:G34"/>
    <mergeCell ref="AH27:AH28"/>
    <mergeCell ref="D29:D30"/>
    <mergeCell ref="I29:I30"/>
    <mergeCell ref="J29:J30"/>
    <mergeCell ref="O29:O30"/>
    <mergeCell ref="P29:P30"/>
    <mergeCell ref="V29:V30"/>
    <mergeCell ref="AB29:AB30"/>
    <mergeCell ref="AH25:AH26"/>
    <mergeCell ref="AH29:AH30"/>
    <mergeCell ref="D27:D28"/>
    <mergeCell ref="I27:I28"/>
    <mergeCell ref="J27:J28"/>
    <mergeCell ref="O27:O28"/>
    <mergeCell ref="P27:P28"/>
    <mergeCell ref="V27:V28"/>
    <mergeCell ref="D25:D26"/>
    <mergeCell ref="AB27:AB28"/>
    <mergeCell ref="AF25:AF26"/>
    <mergeCell ref="AG25:AG26"/>
    <mergeCell ref="E27:E28"/>
    <mergeCell ref="F27:F28"/>
    <mergeCell ref="G27:G28"/>
    <mergeCell ref="H27:H28"/>
    <mergeCell ref="K27:K28"/>
    <mergeCell ref="L27:L28"/>
    <mergeCell ref="M27:M28"/>
    <mergeCell ref="N27:N28"/>
    <mergeCell ref="Q27:Q28"/>
    <mergeCell ref="R27:R28"/>
    <mergeCell ref="S27:S28"/>
    <mergeCell ref="T27:T28"/>
    <mergeCell ref="AB21:AB22"/>
    <mergeCell ref="I21:I22"/>
    <mergeCell ref="J21:J22"/>
    <mergeCell ref="O21:O22"/>
    <mergeCell ref="P21:P22"/>
    <mergeCell ref="AB25:AB26"/>
    <mergeCell ref="AH21:AH22"/>
    <mergeCell ref="D23:D24"/>
    <mergeCell ref="I23:I24"/>
    <mergeCell ref="J23:J24"/>
    <mergeCell ref="O23:O24"/>
    <mergeCell ref="P23:P24"/>
    <mergeCell ref="V23:V24"/>
    <mergeCell ref="AB23:AB24"/>
    <mergeCell ref="AH23:AH24"/>
    <mergeCell ref="D21:D22"/>
    <mergeCell ref="AB17:AB18"/>
    <mergeCell ref="AH17:AH18"/>
    <mergeCell ref="D19:D20"/>
    <mergeCell ref="I19:I20"/>
    <mergeCell ref="J19:J20"/>
    <mergeCell ref="O19:O20"/>
    <mergeCell ref="P19:P20"/>
    <mergeCell ref="V19:V20"/>
    <mergeCell ref="AB19:AB20"/>
    <mergeCell ref="AH19:AH20"/>
    <mergeCell ref="D17:D18"/>
    <mergeCell ref="I17:I18"/>
    <mergeCell ref="J17:J18"/>
    <mergeCell ref="O17:O18"/>
    <mergeCell ref="P17:P18"/>
    <mergeCell ref="V17:V18"/>
    <mergeCell ref="AH15:AH16"/>
    <mergeCell ref="M15:M16"/>
    <mergeCell ref="N15:N16"/>
    <mergeCell ref="Q15:Q16"/>
    <mergeCell ref="R15:R16"/>
    <mergeCell ref="AC10:AG10"/>
    <mergeCell ref="E11:J11"/>
    <mergeCell ref="K11:O11"/>
    <mergeCell ref="Q11:U11"/>
    <mergeCell ref="W11:AA11"/>
    <mergeCell ref="AC11:AG11"/>
    <mergeCell ref="E15:E16"/>
    <mergeCell ref="F15:F16"/>
    <mergeCell ref="G15:G16"/>
    <mergeCell ref="H15:H16"/>
    <mergeCell ref="K15:K16"/>
    <mergeCell ref="L15:L16"/>
    <mergeCell ref="J15:J16"/>
    <mergeCell ref="S15:S16"/>
    <mergeCell ref="T15:T16"/>
    <mergeCell ref="U15:U16"/>
    <mergeCell ref="W15:W16"/>
    <mergeCell ref="X15:X16"/>
    <mergeCell ref="Y15:Y16"/>
    <mergeCell ref="Z15:Z16"/>
    <mergeCell ref="N3:N5"/>
    <mergeCell ref="O3:O5"/>
    <mergeCell ref="Y5:Y6"/>
    <mergeCell ref="E10:I10"/>
    <mergeCell ref="K10:P10"/>
    <mergeCell ref="Q10:V10"/>
    <mergeCell ref="W10:AA10"/>
    <mergeCell ref="A3:K3"/>
    <mergeCell ref="A8:Q8"/>
    <mergeCell ref="A4:C4"/>
    <mergeCell ref="D15:D16"/>
    <mergeCell ref="I15:I16"/>
    <mergeCell ref="B95:C95"/>
    <mergeCell ref="C169:C170"/>
    <mergeCell ref="C120:C121"/>
    <mergeCell ref="B131:B136"/>
    <mergeCell ref="B153:B158"/>
    <mergeCell ref="C165:C166"/>
    <mergeCell ref="C129:C130"/>
    <mergeCell ref="C155:C156"/>
    <mergeCell ref="B108:C108"/>
    <mergeCell ref="B159:B164"/>
    <mergeCell ref="B81:C81"/>
    <mergeCell ref="C46:C47"/>
    <mergeCell ref="C25:C26"/>
    <mergeCell ref="B96:B101"/>
    <mergeCell ref="C40:C41"/>
    <mergeCell ref="C54:C55"/>
    <mergeCell ref="C42:C43"/>
    <mergeCell ref="B58:C58"/>
    <mergeCell ref="C91:C92"/>
    <mergeCell ref="A82:A107"/>
    <mergeCell ref="B210:C211"/>
    <mergeCell ref="B222:B223"/>
    <mergeCell ref="B234:C235"/>
    <mergeCell ref="B243:B248"/>
    <mergeCell ref="B226:C227"/>
    <mergeCell ref="B232:C233"/>
    <mergeCell ref="C247:C248"/>
    <mergeCell ref="B228:C229"/>
    <mergeCell ref="B230:C231"/>
    <mergeCell ref="B213:C214"/>
    <mergeCell ref="B215:C216"/>
    <mergeCell ref="B217:C218"/>
    <mergeCell ref="B202:B207"/>
    <mergeCell ref="B190:C191"/>
    <mergeCell ref="C185:C186"/>
    <mergeCell ref="B165:B170"/>
    <mergeCell ref="C148:C149"/>
    <mergeCell ref="C153:C154"/>
    <mergeCell ref="B195:AH195"/>
    <mergeCell ref="B152:C152"/>
    <mergeCell ref="B146:B151"/>
    <mergeCell ref="C146:C147"/>
    <mergeCell ref="C183:C184"/>
    <mergeCell ref="C175:C176"/>
    <mergeCell ref="C161:C162"/>
    <mergeCell ref="C163:C164"/>
    <mergeCell ref="C150:C151"/>
    <mergeCell ref="C181:C182"/>
    <mergeCell ref="B177:B182"/>
    <mergeCell ref="C177:C178"/>
    <mergeCell ref="C171:C172"/>
    <mergeCell ref="J148:J149"/>
    <mergeCell ref="A222:A223"/>
    <mergeCell ref="C222:C223"/>
    <mergeCell ref="A213:A218"/>
    <mergeCell ref="B225:C225"/>
    <mergeCell ref="B249:B254"/>
    <mergeCell ref="C253:C254"/>
    <mergeCell ref="A153:A188"/>
    <mergeCell ref="C122:C123"/>
    <mergeCell ref="B110:C111"/>
    <mergeCell ref="A196:A211"/>
    <mergeCell ref="B200:C201"/>
    <mergeCell ref="B143:B145"/>
    <mergeCell ref="B183:B188"/>
    <mergeCell ref="C204:C205"/>
    <mergeCell ref="C206:C207"/>
    <mergeCell ref="A190:A193"/>
    <mergeCell ref="C167:C168"/>
    <mergeCell ref="B196:C197"/>
    <mergeCell ref="B118:B123"/>
    <mergeCell ref="C202:C203"/>
    <mergeCell ref="C239:C240"/>
    <mergeCell ref="A237:A254"/>
    <mergeCell ref="B237:B242"/>
    <mergeCell ref="C241:C242"/>
    <mergeCell ref="C243:C244"/>
    <mergeCell ref="C245:C246"/>
    <mergeCell ref="A226:A235"/>
    <mergeCell ref="C173:C174"/>
    <mergeCell ref="B171:B176"/>
    <mergeCell ref="C179:C180"/>
    <mergeCell ref="C249:C250"/>
    <mergeCell ref="C251:C252"/>
    <mergeCell ref="C96:C97"/>
    <mergeCell ref="C98:C99"/>
    <mergeCell ref="B112:B117"/>
    <mergeCell ref="C187:C188"/>
    <mergeCell ref="A74:A79"/>
    <mergeCell ref="B76:C76"/>
    <mergeCell ref="B77:C77"/>
    <mergeCell ref="B78:C79"/>
    <mergeCell ref="B74:C75"/>
    <mergeCell ref="C87:C88"/>
    <mergeCell ref="C85:C86"/>
    <mergeCell ref="C83:C84"/>
    <mergeCell ref="B83:B88"/>
    <mergeCell ref="A59:A72"/>
    <mergeCell ref="B67:C68"/>
    <mergeCell ref="B59:C60"/>
    <mergeCell ref="B73:C73"/>
    <mergeCell ref="C106:C107"/>
    <mergeCell ref="C100:C101"/>
    <mergeCell ref="A109:A123"/>
    <mergeCell ref="A125:A151"/>
    <mergeCell ref="C137:C138"/>
    <mergeCell ref="B125:B130"/>
    <mergeCell ref="B137:B142"/>
    <mergeCell ref="C139:C140"/>
    <mergeCell ref="B109:C109"/>
    <mergeCell ref="C114:C115"/>
    <mergeCell ref="C133:C134"/>
    <mergeCell ref="C125:C126"/>
    <mergeCell ref="C127:C128"/>
    <mergeCell ref="C131:C132"/>
    <mergeCell ref="C135:C136"/>
    <mergeCell ref="C31:C32"/>
    <mergeCell ref="B52:B57"/>
    <mergeCell ref="C33:C34"/>
    <mergeCell ref="C35:C36"/>
    <mergeCell ref="C48:C49"/>
    <mergeCell ref="B40:B45"/>
    <mergeCell ref="A40:A57"/>
    <mergeCell ref="C27:C28"/>
    <mergeCell ref="B15:B20"/>
    <mergeCell ref="B46:B51"/>
    <mergeCell ref="C15:C16"/>
    <mergeCell ref="C37:C38"/>
    <mergeCell ref="C44:C45"/>
    <mergeCell ref="B33:B38"/>
    <mergeCell ref="A15:A38"/>
    <mergeCell ref="C19:C20"/>
    <mergeCell ref="A7:C7"/>
    <mergeCell ref="B10:B12"/>
    <mergeCell ref="C10:C12"/>
    <mergeCell ref="B39:AH39"/>
    <mergeCell ref="A5:B5"/>
    <mergeCell ref="A6:B6"/>
    <mergeCell ref="A2:M2"/>
    <mergeCell ref="B208:C209"/>
    <mergeCell ref="C112:C113"/>
    <mergeCell ref="C118:C119"/>
    <mergeCell ref="B192:C193"/>
    <mergeCell ref="C141:C142"/>
    <mergeCell ref="B61:C62"/>
    <mergeCell ref="B63:C64"/>
    <mergeCell ref="B69:C70"/>
    <mergeCell ref="B65:C66"/>
    <mergeCell ref="B71:C72"/>
    <mergeCell ref="C21:C22"/>
    <mergeCell ref="C56:C57"/>
    <mergeCell ref="B21:B26"/>
    <mergeCell ref="C52:C53"/>
    <mergeCell ref="B27:B32"/>
    <mergeCell ref="C17:C18"/>
    <mergeCell ref="C50:C51"/>
    <mergeCell ref="C23:C24"/>
    <mergeCell ref="C29:C30"/>
    <mergeCell ref="C93:C94"/>
    <mergeCell ref="C89:C90"/>
    <mergeCell ref="B198:C199"/>
    <mergeCell ref="C116:C117"/>
    <mergeCell ref="C159:C160"/>
    <mergeCell ref="C157:C158"/>
    <mergeCell ref="B89:B94"/>
    <mergeCell ref="B102:B107"/>
    <mergeCell ref="C102:C103"/>
    <mergeCell ref="C104:C105"/>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83:D184"/>
    <mergeCell ref="D185:D186"/>
    <mergeCell ref="D187:D188"/>
    <mergeCell ref="D190:D191"/>
    <mergeCell ref="D192:D193"/>
    <mergeCell ref="D237:D238"/>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B194:AH194"/>
    <mergeCell ref="P190:P191"/>
    <mergeCell ref="V190:V191"/>
    <mergeCell ref="AB190:AB191"/>
    <mergeCell ref="D247:D248"/>
    <mergeCell ref="D249:D250"/>
    <mergeCell ref="D251:D252"/>
    <mergeCell ref="D253:D254"/>
    <mergeCell ref="D215:D216"/>
    <mergeCell ref="B236:AH236"/>
    <mergeCell ref="B212:AH212"/>
    <mergeCell ref="N237:N238"/>
    <mergeCell ref="E237:E238"/>
    <mergeCell ref="F237:F238"/>
    <mergeCell ref="G237:G238"/>
    <mergeCell ref="H237:H238"/>
    <mergeCell ref="K237:K238"/>
    <mergeCell ref="L237:L238"/>
    <mergeCell ref="M237:M238"/>
    <mergeCell ref="Q237:Q238"/>
    <mergeCell ref="R237:R238"/>
    <mergeCell ref="S237:S238"/>
    <mergeCell ref="T237:T238"/>
    <mergeCell ref="W237:W238"/>
    <mergeCell ref="X237:X238"/>
    <mergeCell ref="Y237:Y238"/>
    <mergeCell ref="AH213:AH214"/>
    <mergeCell ref="G222:H222"/>
    <mergeCell ref="M222:N222"/>
    <mergeCell ref="S222:T222"/>
    <mergeCell ref="Y222:Z222"/>
    <mergeCell ref="AE222:AF222"/>
    <mergeCell ref="J215:J216"/>
    <mergeCell ref="P215:P216"/>
    <mergeCell ref="V215:V216"/>
    <mergeCell ref="AB215:AB216"/>
    <mergeCell ref="K125:K126"/>
    <mergeCell ref="L125:L126"/>
    <mergeCell ref="M125:M126"/>
    <mergeCell ref="N125:N126"/>
    <mergeCell ref="O125:O126"/>
    <mergeCell ref="P125:P126"/>
    <mergeCell ref="Q125:Q126"/>
    <mergeCell ref="R125:R126"/>
    <mergeCell ref="S125:S126"/>
    <mergeCell ref="T125:T126"/>
    <mergeCell ref="U125:U126"/>
    <mergeCell ref="D239:D240"/>
    <mergeCell ref="D241:D242"/>
    <mergeCell ref="D243:D244"/>
    <mergeCell ref="D245:D246"/>
    <mergeCell ref="D196:D197"/>
    <mergeCell ref="D206:D207"/>
    <mergeCell ref="D210:D211"/>
    <mergeCell ref="D213:D214"/>
    <mergeCell ref="D198:D199"/>
    <mergeCell ref="D208:D209"/>
    <mergeCell ref="D161:D162"/>
    <mergeCell ref="D163:D164"/>
    <mergeCell ref="D165:D166"/>
    <mergeCell ref="D167:D168"/>
    <mergeCell ref="D169:D170"/>
    <mergeCell ref="D171:D172"/>
    <mergeCell ref="D173:D174"/>
    <mergeCell ref="D175:D176"/>
    <mergeCell ref="D177:D178"/>
    <mergeCell ref="D179:D180"/>
    <mergeCell ref="D181:D182"/>
    <mergeCell ref="AH125:AH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E125:E126"/>
    <mergeCell ref="F125:F126"/>
    <mergeCell ref="G125:G126"/>
    <mergeCell ref="H125:H126"/>
    <mergeCell ref="I125:I126"/>
    <mergeCell ref="J125:J126"/>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J129:J130"/>
    <mergeCell ref="P129:P130"/>
    <mergeCell ref="V129:V130"/>
    <mergeCell ref="Y129:Y130"/>
    <mergeCell ref="Z129:Z130"/>
    <mergeCell ref="AA129:AA130"/>
    <mergeCell ref="AC129:AC130"/>
    <mergeCell ref="AD129:AD130"/>
    <mergeCell ref="AE129:AE130"/>
    <mergeCell ref="AF129:AF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J137:J138"/>
    <mergeCell ref="AD137:AD138"/>
    <mergeCell ref="AE137:AE138"/>
    <mergeCell ref="AF137:AF138"/>
    <mergeCell ref="AG137:AG138"/>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37:E138"/>
    <mergeCell ref="F137:F138"/>
    <mergeCell ref="G137:G138"/>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AD146:AD147"/>
    <mergeCell ref="AE146:AE147"/>
    <mergeCell ref="AF146:AF147"/>
    <mergeCell ref="AG146:AG147"/>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AG148:AG149"/>
    <mergeCell ref="E146:E147"/>
    <mergeCell ref="F146:F147"/>
    <mergeCell ref="G146:G147"/>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R42:R43"/>
    <mergeCell ref="S42:S43"/>
    <mergeCell ref="T42:T43"/>
    <mergeCell ref="W42:W43"/>
    <mergeCell ref="X42:X43"/>
    <mergeCell ref="Y42:Y43"/>
    <mergeCell ref="Z42:Z43"/>
    <mergeCell ref="AC42:AC43"/>
    <mergeCell ref="AD42:AD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E46:E47"/>
    <mergeCell ref="F46:F47"/>
    <mergeCell ref="G46:G47"/>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R50:R51"/>
    <mergeCell ref="S50:S51"/>
    <mergeCell ref="T50:T51"/>
    <mergeCell ref="W50:W51"/>
    <mergeCell ref="X50:X51"/>
    <mergeCell ref="Y50:Y51"/>
    <mergeCell ref="Z50:Z51"/>
    <mergeCell ref="AC50:AC51"/>
    <mergeCell ref="AB50:AB51"/>
    <mergeCell ref="AD50:AD51"/>
    <mergeCell ref="AE50:AE51"/>
    <mergeCell ref="AD46:AD47"/>
    <mergeCell ref="AE46:AE47"/>
    <mergeCell ref="AF46:AF47"/>
    <mergeCell ref="E48:E49"/>
    <mergeCell ref="F48:F49"/>
    <mergeCell ref="G48:G49"/>
    <mergeCell ref="H48:H49"/>
    <mergeCell ref="K48:K49"/>
    <mergeCell ref="L48:L49"/>
    <mergeCell ref="M48:M49"/>
    <mergeCell ref="R48:R49"/>
    <mergeCell ref="S48:S49"/>
    <mergeCell ref="T48:T49"/>
    <mergeCell ref="W48:W49"/>
    <mergeCell ref="X48:X49"/>
    <mergeCell ref="Y48:Y49"/>
    <mergeCell ref="Z48:Z49"/>
    <mergeCell ref="AC48:AC49"/>
    <mergeCell ref="AD48:AD49"/>
    <mergeCell ref="AE48:AE49"/>
    <mergeCell ref="AF48:AF49"/>
    <mergeCell ref="W54:W55"/>
    <mergeCell ref="X54:X55"/>
    <mergeCell ref="Y54:Y55"/>
    <mergeCell ref="Z54:Z55"/>
    <mergeCell ref="AC54:AC55"/>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H50:H51"/>
    <mergeCell ref="K50:K51"/>
    <mergeCell ref="L50:L51"/>
    <mergeCell ref="M50:M51"/>
    <mergeCell ref="N50:N51"/>
    <mergeCell ref="Q50:Q51"/>
    <mergeCell ref="AD54:AD55"/>
    <mergeCell ref="AE54:AE55"/>
    <mergeCell ref="AF54:AF55"/>
    <mergeCell ref="E56:E57"/>
    <mergeCell ref="F56:F57"/>
    <mergeCell ref="G56:G57"/>
    <mergeCell ref="H56:H57"/>
    <mergeCell ref="K56:K57"/>
    <mergeCell ref="Q56:Q57"/>
    <mergeCell ref="R56:R57"/>
    <mergeCell ref="S56:S57"/>
    <mergeCell ref="T56:T57"/>
    <mergeCell ref="W56:W57"/>
    <mergeCell ref="X56:X57"/>
    <mergeCell ref="Y56:Y57"/>
    <mergeCell ref="Z56:Z57"/>
    <mergeCell ref="AC56:AC57"/>
    <mergeCell ref="AD56:AD57"/>
    <mergeCell ref="AE56:AE57"/>
    <mergeCell ref="AF56:AF57"/>
    <mergeCell ref="E54:E55"/>
    <mergeCell ref="F54:F55"/>
    <mergeCell ref="G54:G55"/>
    <mergeCell ref="H54:H55"/>
    <mergeCell ref="K54:K55"/>
    <mergeCell ref="L54:L55"/>
    <mergeCell ref="M54:M55"/>
    <mergeCell ref="N54:N55"/>
    <mergeCell ref="Q54:Q55"/>
    <mergeCell ref="R54:R55"/>
    <mergeCell ref="S54:S55"/>
    <mergeCell ref="T54:T55"/>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U17:U18"/>
    <mergeCell ref="W17:W18"/>
    <mergeCell ref="X17:X18"/>
    <mergeCell ref="Y17:Y18"/>
    <mergeCell ref="Z17:Z18"/>
    <mergeCell ref="AA17:AA18"/>
    <mergeCell ref="AC17:AC18"/>
    <mergeCell ref="AD17:AD18"/>
    <mergeCell ref="AE17:AE18"/>
    <mergeCell ref="AF17:AF18"/>
    <mergeCell ref="AG17:AG18"/>
    <mergeCell ref="R17:R18"/>
    <mergeCell ref="S17:S18"/>
    <mergeCell ref="T17:T18"/>
    <mergeCell ref="O15:O16"/>
    <mergeCell ref="P15:P16"/>
    <mergeCell ref="V15:V16"/>
    <mergeCell ref="AB15:AB16"/>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A15:AA16"/>
    <mergeCell ref="AC15:AC16"/>
    <mergeCell ref="AA19:AA20"/>
    <mergeCell ref="AC19:AC20"/>
    <mergeCell ref="AD19:AD20"/>
    <mergeCell ref="AE19:AE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V21:V22"/>
    <mergeCell ref="AC21:AC22"/>
    <mergeCell ref="AD21:AD22"/>
    <mergeCell ref="AE21:AE22"/>
    <mergeCell ref="AF21:AF22"/>
    <mergeCell ref="AG21:AG22"/>
    <mergeCell ref="E19:E20"/>
    <mergeCell ref="F19:F20"/>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E25:E26"/>
    <mergeCell ref="F25:F26"/>
    <mergeCell ref="G25:G26"/>
    <mergeCell ref="H25:H26"/>
    <mergeCell ref="K25:K26"/>
    <mergeCell ref="L25:L26"/>
    <mergeCell ref="I25:I26"/>
    <mergeCell ref="J25:J26"/>
    <mergeCell ref="M25:M26"/>
    <mergeCell ref="N25:N26"/>
    <mergeCell ref="Q25:Q26"/>
    <mergeCell ref="R25:R26"/>
    <mergeCell ref="S25:S26"/>
    <mergeCell ref="T25:T26"/>
    <mergeCell ref="O25:O26"/>
    <mergeCell ref="P25:P26"/>
    <mergeCell ref="U25:U26"/>
    <mergeCell ref="W25:W26"/>
    <mergeCell ref="X25:X26"/>
    <mergeCell ref="Y25:Y26"/>
    <mergeCell ref="Z25:Z26"/>
    <mergeCell ref="AA25:AA26"/>
    <mergeCell ref="V25:V26"/>
    <mergeCell ref="AC25:AC26"/>
    <mergeCell ref="AD25:AD26"/>
    <mergeCell ref="AE25:AE26"/>
    <mergeCell ref="U27:U28"/>
    <mergeCell ref="W27:W28"/>
    <mergeCell ref="X27:X28"/>
    <mergeCell ref="Y27:Y28"/>
    <mergeCell ref="Z27:Z28"/>
    <mergeCell ref="AA27:AA28"/>
    <mergeCell ref="AC27:AC28"/>
    <mergeCell ref="AD27:AD28"/>
    <mergeCell ref="AE27:AE28"/>
    <mergeCell ref="AF27:AF28"/>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V31:V32"/>
    <mergeCell ref="AA31:AA32"/>
    <mergeCell ref="AC31:AC32"/>
    <mergeCell ref="AD31:AD32"/>
    <mergeCell ref="AE31:AE32"/>
    <mergeCell ref="AF31:AF32"/>
    <mergeCell ref="AG31:AG32"/>
    <mergeCell ref="AA35:AA36"/>
    <mergeCell ref="AC35:AC36"/>
    <mergeCell ref="AD35:AD36"/>
    <mergeCell ref="AE35:AE36"/>
    <mergeCell ref="AF35:AF36"/>
    <mergeCell ref="AG35:AG36"/>
    <mergeCell ref="AB35:AB36"/>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K37:K38"/>
    <mergeCell ref="L37:L38"/>
    <mergeCell ref="M37:M38"/>
    <mergeCell ref="N37:N38"/>
    <mergeCell ref="Q37:Q38"/>
    <mergeCell ref="R37:R38"/>
    <mergeCell ref="S37:S38"/>
    <mergeCell ref="T37:T38"/>
    <mergeCell ref="U37:U38"/>
    <mergeCell ref="W37:W38"/>
    <mergeCell ref="X37:X38"/>
    <mergeCell ref="Y37:Y38"/>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E37:E38"/>
    <mergeCell ref="F37:F38"/>
    <mergeCell ref="G37:G38"/>
    <mergeCell ref="H37:H38"/>
    <mergeCell ref="I37:I38"/>
    <mergeCell ref="R61:R62"/>
    <mergeCell ref="S61:S62"/>
    <mergeCell ref="T61:T62"/>
    <mergeCell ref="W61:W62"/>
    <mergeCell ref="X61:X62"/>
    <mergeCell ref="Y61:Y62"/>
    <mergeCell ref="Z61:Z62"/>
    <mergeCell ref="AC61:AC62"/>
    <mergeCell ref="AD61:AD62"/>
    <mergeCell ref="AE61:AE62"/>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W65:W66"/>
    <mergeCell ref="X65:X66"/>
    <mergeCell ref="Y65:Y66"/>
    <mergeCell ref="Z65:Z66"/>
    <mergeCell ref="AC65:AC66"/>
    <mergeCell ref="AD65:AD66"/>
    <mergeCell ref="AE65:AE66"/>
    <mergeCell ref="AF65:AF66"/>
    <mergeCell ref="E67:E68"/>
    <mergeCell ref="F67:F68"/>
    <mergeCell ref="G67:G68"/>
    <mergeCell ref="H67:H68"/>
    <mergeCell ref="K67:K68"/>
    <mergeCell ref="L67:L68"/>
    <mergeCell ref="M67:M68"/>
    <mergeCell ref="N67:N68"/>
    <mergeCell ref="W67:W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W71:W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J85:J86"/>
    <mergeCell ref="P85:P86"/>
    <mergeCell ref="V85:V86"/>
    <mergeCell ref="AB85:AB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W89:W90"/>
    <mergeCell ref="X89:X90"/>
    <mergeCell ref="Y89:Y90"/>
    <mergeCell ref="Z89:Z90"/>
    <mergeCell ref="AC89:AC90"/>
    <mergeCell ref="AD89:AD90"/>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D91:AD92"/>
    <mergeCell ref="AE91:AE92"/>
    <mergeCell ref="AF91:AF92"/>
    <mergeCell ref="E93:E94"/>
    <mergeCell ref="F93:F94"/>
    <mergeCell ref="G93:G94"/>
    <mergeCell ref="H93:H94"/>
    <mergeCell ref="K93:K94"/>
    <mergeCell ref="L93:L94"/>
    <mergeCell ref="M93:M94"/>
    <mergeCell ref="N93:N94"/>
    <mergeCell ref="Q93:Q94"/>
    <mergeCell ref="R93:R94"/>
    <mergeCell ref="S93:S94"/>
    <mergeCell ref="T93:T94"/>
    <mergeCell ref="W93:W94"/>
    <mergeCell ref="X93:X94"/>
    <mergeCell ref="Y93:Y94"/>
    <mergeCell ref="Z93:Z94"/>
    <mergeCell ref="AC93:AC94"/>
    <mergeCell ref="J93:J94"/>
    <mergeCell ref="P93:P94"/>
    <mergeCell ref="V93:V94"/>
    <mergeCell ref="AB93:AB94"/>
    <mergeCell ref="AC100:AC101"/>
    <mergeCell ref="AD100:AD101"/>
    <mergeCell ref="AE100:AE101"/>
    <mergeCell ref="AF100:AF101"/>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F96:AF97"/>
    <mergeCell ref="J100:J101"/>
    <mergeCell ref="P100:P101"/>
    <mergeCell ref="V100:V101"/>
    <mergeCell ref="AB100:AB101"/>
    <mergeCell ref="R102:R103"/>
    <mergeCell ref="S102:S103"/>
    <mergeCell ref="T102:T103"/>
    <mergeCell ref="W102:W103"/>
    <mergeCell ref="X102:X103"/>
    <mergeCell ref="Y102:Y103"/>
    <mergeCell ref="Z102:Z103"/>
    <mergeCell ref="AC102:AC103"/>
    <mergeCell ref="W98:W99"/>
    <mergeCell ref="X98:X99"/>
    <mergeCell ref="Y98:Y99"/>
    <mergeCell ref="Z98:Z99"/>
    <mergeCell ref="AC98:AC99"/>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D102:AD103"/>
    <mergeCell ref="AE102:AE103"/>
    <mergeCell ref="AF102:AF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N102:N103"/>
    <mergeCell ref="Q102:Q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P110:P111"/>
    <mergeCell ref="V110:V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P118:P119"/>
    <mergeCell ref="V118:V119"/>
    <mergeCell ref="AB118:AB119"/>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F122:F123"/>
    <mergeCell ref="G122:G123"/>
    <mergeCell ref="H122:H123"/>
    <mergeCell ref="K122:K123"/>
    <mergeCell ref="L122:L123"/>
    <mergeCell ref="M122:M123"/>
    <mergeCell ref="N122:N123"/>
    <mergeCell ref="Q122:Q123"/>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J157:J158"/>
    <mergeCell ref="P157:P158"/>
    <mergeCell ref="V157:V158"/>
    <mergeCell ref="AB157:AB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J165:J166"/>
    <mergeCell ref="P165:P166"/>
    <mergeCell ref="V165:V166"/>
    <mergeCell ref="AB165:AB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J173:J174"/>
    <mergeCell ref="P173:P174"/>
    <mergeCell ref="V173:V174"/>
    <mergeCell ref="AB173:AB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J181:J182"/>
    <mergeCell ref="P181:P182"/>
    <mergeCell ref="V181:V182"/>
    <mergeCell ref="AB181:AB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R190:R191"/>
    <mergeCell ref="S190:S191"/>
    <mergeCell ref="T190:T191"/>
    <mergeCell ref="W190:W191"/>
    <mergeCell ref="X190:X191"/>
    <mergeCell ref="Y190:Y191"/>
    <mergeCell ref="Z190:Z191"/>
    <mergeCell ref="AC190:AC191"/>
    <mergeCell ref="AD190:AD191"/>
    <mergeCell ref="AE190:AE191"/>
    <mergeCell ref="AF190:AF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Z241:Z242"/>
    <mergeCell ref="AC241:AC242"/>
    <mergeCell ref="E239:E240"/>
    <mergeCell ref="F239:F240"/>
    <mergeCell ref="G239:G240"/>
    <mergeCell ref="H239:H240"/>
    <mergeCell ref="K239:K240"/>
    <mergeCell ref="L239:L240"/>
    <mergeCell ref="J239:J240"/>
    <mergeCell ref="M239:M240"/>
    <mergeCell ref="N239:N240"/>
    <mergeCell ref="Q239:Q240"/>
    <mergeCell ref="R239:R240"/>
    <mergeCell ref="S239:S240"/>
    <mergeCell ref="T239:T240"/>
    <mergeCell ref="P239:P240"/>
    <mergeCell ref="W239:W240"/>
    <mergeCell ref="X239:X240"/>
    <mergeCell ref="Y239:Y240"/>
    <mergeCell ref="V241:V242"/>
    <mergeCell ref="AB241:AB242"/>
    <mergeCell ref="M243:M244"/>
    <mergeCell ref="N243:N244"/>
    <mergeCell ref="Q243:Q244"/>
    <mergeCell ref="R243:R244"/>
    <mergeCell ref="S243:S244"/>
    <mergeCell ref="T243:T244"/>
    <mergeCell ref="P243:P244"/>
    <mergeCell ref="W243:W244"/>
    <mergeCell ref="X243:X244"/>
    <mergeCell ref="Y243:Y244"/>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3:Z244"/>
    <mergeCell ref="AC243:AC244"/>
    <mergeCell ref="AD243:AD244"/>
    <mergeCell ref="AE243:AE244"/>
    <mergeCell ref="AF243:AF244"/>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AD245:AD246"/>
    <mergeCell ref="AE245:AE246"/>
    <mergeCell ref="AF245:AF246"/>
    <mergeCell ref="E243:E244"/>
    <mergeCell ref="F243:F244"/>
    <mergeCell ref="G243:G244"/>
    <mergeCell ref="H243:H244"/>
    <mergeCell ref="K243:K244"/>
    <mergeCell ref="L243:L244"/>
    <mergeCell ref="J243:J244"/>
    <mergeCell ref="AD249:AD250"/>
    <mergeCell ref="AE249:AE250"/>
    <mergeCell ref="AF249:AF250"/>
    <mergeCell ref="E247:E248"/>
    <mergeCell ref="F247:F248"/>
    <mergeCell ref="G247:G248"/>
    <mergeCell ref="H247:H248"/>
    <mergeCell ref="K247:K248"/>
    <mergeCell ref="L247:L248"/>
    <mergeCell ref="J247:J248"/>
    <mergeCell ref="M247:M248"/>
    <mergeCell ref="N247:N248"/>
    <mergeCell ref="Q247:Q248"/>
    <mergeCell ref="R247:R248"/>
    <mergeCell ref="S247:S248"/>
    <mergeCell ref="T247:T248"/>
    <mergeCell ref="P247:P248"/>
    <mergeCell ref="W247:W248"/>
    <mergeCell ref="X247:X248"/>
    <mergeCell ref="Y247:Y248"/>
    <mergeCell ref="M251:M252"/>
    <mergeCell ref="N251:N252"/>
    <mergeCell ref="Q251:Q252"/>
    <mergeCell ref="R251:R252"/>
    <mergeCell ref="S251:S252"/>
    <mergeCell ref="T251:T252"/>
    <mergeCell ref="P251:P252"/>
    <mergeCell ref="W251:W252"/>
    <mergeCell ref="X251:X252"/>
    <mergeCell ref="Y251:Y252"/>
    <mergeCell ref="Z247:Z248"/>
    <mergeCell ref="AC247:AC248"/>
    <mergeCell ref="AD247:AD248"/>
    <mergeCell ref="AE247:AE248"/>
    <mergeCell ref="AF247:AF248"/>
    <mergeCell ref="E249:E250"/>
    <mergeCell ref="F249:F250"/>
    <mergeCell ref="G249:G250"/>
    <mergeCell ref="H249:H250"/>
    <mergeCell ref="K249:K250"/>
    <mergeCell ref="L249:L250"/>
    <mergeCell ref="M249:M250"/>
    <mergeCell ref="N249:N250"/>
    <mergeCell ref="Q249:Q250"/>
    <mergeCell ref="R249:R250"/>
    <mergeCell ref="S249:S250"/>
    <mergeCell ref="T249:T250"/>
    <mergeCell ref="W249:W250"/>
    <mergeCell ref="X249:X250"/>
    <mergeCell ref="Y249:Y250"/>
    <mergeCell ref="Z249:Z250"/>
    <mergeCell ref="AC249:AC250"/>
    <mergeCell ref="Z251:Z252"/>
    <mergeCell ref="AC251:AC252"/>
    <mergeCell ref="AD251:AD252"/>
    <mergeCell ref="AE251:AE252"/>
    <mergeCell ref="AF251:AF252"/>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AD253:AD254"/>
    <mergeCell ref="AE253:AE254"/>
    <mergeCell ref="AF253:AF254"/>
    <mergeCell ref="E251:E252"/>
    <mergeCell ref="F251:F252"/>
    <mergeCell ref="G251:G252"/>
    <mergeCell ref="H251:H252"/>
    <mergeCell ref="K251:K252"/>
    <mergeCell ref="L251:L252"/>
    <mergeCell ref="J251:J252"/>
    <mergeCell ref="E210:E211"/>
    <mergeCell ref="K196:K197"/>
    <mergeCell ref="K198:K199"/>
    <mergeCell ref="K200:K201"/>
    <mergeCell ref="K202:K203"/>
    <mergeCell ref="K204:K205"/>
    <mergeCell ref="K206:K207"/>
    <mergeCell ref="K208:K209"/>
    <mergeCell ref="K210:K211"/>
    <mergeCell ref="Q196:Q197"/>
    <mergeCell ref="Q198:Q199"/>
    <mergeCell ref="Q200:Q201"/>
    <mergeCell ref="Q202:Q203"/>
    <mergeCell ref="Q204:Q205"/>
    <mergeCell ref="Q206:Q207"/>
    <mergeCell ref="Q208:Q209"/>
    <mergeCell ref="Q210:Q211"/>
    <mergeCell ref="F196:F197"/>
    <mergeCell ref="G196:G197"/>
    <mergeCell ref="H196:H197"/>
    <mergeCell ref="F198:F199"/>
    <mergeCell ref="G198:G199"/>
    <mergeCell ref="H198:H199"/>
    <mergeCell ref="F200:F201"/>
    <mergeCell ref="G200:G201"/>
    <mergeCell ref="H200:H201"/>
    <mergeCell ref="F202:F203"/>
    <mergeCell ref="G202:G203"/>
    <mergeCell ref="H202:H203"/>
    <mergeCell ref="F204:F205"/>
    <mergeCell ref="G204:G205"/>
    <mergeCell ref="H204:H205"/>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F204:AF205"/>
    <mergeCell ref="AC206:AC207"/>
    <mergeCell ref="AD206:AD207"/>
    <mergeCell ref="AE206:AE207"/>
    <mergeCell ref="AF206:AF207"/>
    <mergeCell ref="F208:F209"/>
    <mergeCell ref="G208:G209"/>
    <mergeCell ref="H208:H209"/>
    <mergeCell ref="F210:F211"/>
    <mergeCell ref="G210:G211"/>
    <mergeCell ref="H210:H211"/>
    <mergeCell ref="L196:L197"/>
    <mergeCell ref="M196:M197"/>
    <mergeCell ref="N196:N197"/>
    <mergeCell ref="L198:L199"/>
    <mergeCell ref="M198:M199"/>
    <mergeCell ref="N198:N199"/>
    <mergeCell ref="L200:L201"/>
    <mergeCell ref="M200:M201"/>
    <mergeCell ref="N200:N201"/>
    <mergeCell ref="L202:L203"/>
    <mergeCell ref="M202:M203"/>
    <mergeCell ref="N202:N203"/>
    <mergeCell ref="L204:L205"/>
    <mergeCell ref="M204:M205"/>
    <mergeCell ref="N204:N205"/>
    <mergeCell ref="L206:L207"/>
    <mergeCell ref="M206:M207"/>
    <mergeCell ref="N206:N207"/>
    <mergeCell ref="L208:L209"/>
    <mergeCell ref="M208:M209"/>
    <mergeCell ref="N208:N209"/>
    <mergeCell ref="L210:L211"/>
    <mergeCell ref="M210:M211"/>
    <mergeCell ref="N210:N211"/>
    <mergeCell ref="J200:J201"/>
    <mergeCell ref="J206:J207"/>
    <mergeCell ref="T196:T197"/>
    <mergeCell ref="R198:R199"/>
    <mergeCell ref="S198:S199"/>
    <mergeCell ref="T198:T199"/>
    <mergeCell ref="R200:R201"/>
    <mergeCell ref="S200:S201"/>
    <mergeCell ref="T200:T201"/>
    <mergeCell ref="R202:R203"/>
    <mergeCell ref="S202:S203"/>
    <mergeCell ref="T202:T203"/>
    <mergeCell ref="R204:R205"/>
    <mergeCell ref="S204:S205"/>
    <mergeCell ref="T204:T205"/>
    <mergeCell ref="R206:R207"/>
    <mergeCell ref="S206:S207"/>
    <mergeCell ref="T206:T207"/>
    <mergeCell ref="H206:H207"/>
    <mergeCell ref="P200:P201"/>
    <mergeCell ref="P206:P207"/>
    <mergeCell ref="R208:R209"/>
    <mergeCell ref="S208:S209"/>
    <mergeCell ref="T208:T209"/>
    <mergeCell ref="R210:R211"/>
    <mergeCell ref="S210:S211"/>
    <mergeCell ref="T210:T211"/>
    <mergeCell ref="X196:X197"/>
    <mergeCell ref="Y196:Y197"/>
    <mergeCell ref="Z196:Z197"/>
    <mergeCell ref="X198:X199"/>
    <mergeCell ref="Y198:Y199"/>
    <mergeCell ref="Z198:Z199"/>
    <mergeCell ref="X200:X201"/>
    <mergeCell ref="Y200:Y201"/>
    <mergeCell ref="Z200:Z201"/>
    <mergeCell ref="X202:X203"/>
    <mergeCell ref="Y202:Y203"/>
    <mergeCell ref="Z202:Z203"/>
    <mergeCell ref="X204:X205"/>
    <mergeCell ref="Y204:Y205"/>
    <mergeCell ref="Z204:Z205"/>
    <mergeCell ref="X206:X207"/>
    <mergeCell ref="Y206:Y207"/>
    <mergeCell ref="Z206:Z207"/>
    <mergeCell ref="X208:X209"/>
    <mergeCell ref="Y208:Y209"/>
    <mergeCell ref="Z208:Z209"/>
    <mergeCell ref="X210:X211"/>
    <mergeCell ref="Y210:Y211"/>
    <mergeCell ref="Z210:Z211"/>
    <mergeCell ref="R196:R197"/>
    <mergeCell ref="S196:S197"/>
    <mergeCell ref="M215:M216"/>
    <mergeCell ref="N215:N216"/>
    <mergeCell ref="O215:O216"/>
    <mergeCell ref="K217:K218"/>
    <mergeCell ref="L217:L218"/>
    <mergeCell ref="M217:M218"/>
    <mergeCell ref="N217:N218"/>
    <mergeCell ref="O217:O218"/>
    <mergeCell ref="E213:E214"/>
    <mergeCell ref="F213:F214"/>
    <mergeCell ref="G213:G214"/>
    <mergeCell ref="H213:H214"/>
    <mergeCell ref="E215:E216"/>
    <mergeCell ref="F215:F216"/>
    <mergeCell ref="G215:G216"/>
    <mergeCell ref="H215:H216"/>
    <mergeCell ref="E217:E218"/>
    <mergeCell ref="F217:F218"/>
    <mergeCell ref="G217:G218"/>
    <mergeCell ref="H217:H218"/>
    <mergeCell ref="S213:S214"/>
    <mergeCell ref="T213:T214"/>
    <mergeCell ref="Q215:Q216"/>
    <mergeCell ref="R215:R216"/>
    <mergeCell ref="S215:S216"/>
    <mergeCell ref="T215:T216"/>
    <mergeCell ref="Q217:Q218"/>
    <mergeCell ref="R217:R218"/>
    <mergeCell ref="S217:S218"/>
    <mergeCell ref="T217:T218"/>
    <mergeCell ref="W213:W214"/>
    <mergeCell ref="X213:X214"/>
    <mergeCell ref="W217:W218"/>
    <mergeCell ref="X217:X218"/>
    <mergeCell ref="Q213:Q214"/>
    <mergeCell ref="R213:R214"/>
    <mergeCell ref="Y213:Y214"/>
    <mergeCell ref="Z213:Z214"/>
    <mergeCell ref="W215:W216"/>
    <mergeCell ref="X215:X216"/>
    <mergeCell ref="Y215:Y216"/>
    <mergeCell ref="Z215:Z216"/>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Y217:Y218"/>
    <mergeCell ref="Z217:Z218"/>
  </mergeCells>
  <pageMargins left="0.37" right="0.2" top="0.35" bottom="0.26" header="0.26" footer="0.17"/>
  <pageSetup paperSize="9" scale="92"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08DE8-5F19-4B91-A102-8E349AE366FC}">
  <sheetPr>
    <pageSetUpPr fitToPage="1"/>
  </sheetPr>
  <dimension ref="A1:AH256"/>
  <sheetViews>
    <sheetView zoomScaleNormal="100" zoomScaleSheetLayoutView="50" workbookViewId="0">
      <pane ySplit="12" topLeftCell="A235" activePane="bottomLeft" state="frozen"/>
      <selection activeCell="B67" sqref="B67:C68"/>
      <selection pane="bottomLeft" activeCell="E231" sqref="E231:AH231"/>
    </sheetView>
  </sheetViews>
  <sheetFormatPr defaultColWidth="9.109375" defaultRowHeight="10.199999999999999" x14ac:dyDescent="0.2"/>
  <cols>
    <col min="1" max="1" width="4.88671875" style="11" customWidth="1"/>
    <col min="2" max="2" width="35.77734375" style="11" customWidth="1"/>
    <col min="3" max="3" width="8" style="11" customWidth="1"/>
    <col min="4" max="4" width="5.5546875"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269"/>
      <c r="E2" s="269"/>
      <c r="F2" s="269"/>
      <c r="G2" s="269"/>
      <c r="H2" s="269"/>
      <c r="I2" s="269"/>
      <c r="J2" s="269"/>
      <c r="K2" s="269"/>
      <c r="L2" s="269"/>
      <c r="N2" s="216"/>
      <c r="O2" s="215"/>
    </row>
    <row r="3" spans="1:34" x14ac:dyDescent="0.2">
      <c r="A3" s="297" t="s">
        <v>50</v>
      </c>
      <c r="B3" s="297"/>
      <c r="C3" s="297"/>
      <c r="D3" s="269"/>
      <c r="E3" s="269"/>
      <c r="F3" s="269"/>
      <c r="G3" s="269"/>
      <c r="H3" s="269"/>
      <c r="I3" s="269"/>
      <c r="J3" s="269"/>
      <c r="K3" s="269"/>
      <c r="L3" s="269"/>
      <c r="M3" s="269"/>
      <c r="N3" s="546"/>
      <c r="O3" s="547"/>
    </row>
    <row r="4" spans="1:34" x14ac:dyDescent="0.2">
      <c r="A4" s="297" t="s">
        <v>67</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171</v>
      </c>
      <c r="B8" s="268"/>
      <c r="C8" s="268"/>
      <c r="D8" s="326"/>
      <c r="E8" s="326"/>
      <c r="F8" s="326"/>
      <c r="G8" s="326"/>
      <c r="H8" s="326"/>
      <c r="I8" s="326"/>
      <c r="J8" s="326"/>
      <c r="K8" s="326"/>
      <c r="L8" s="326"/>
      <c r="M8" s="326"/>
      <c r="N8" s="326"/>
      <c r="O8" s="326"/>
      <c r="P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ht="20.25" customHeight="1"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4" t="s">
        <v>135</v>
      </c>
      <c r="E82" s="35">
        <v>4</v>
      </c>
      <c r="F82" s="35">
        <v>4</v>
      </c>
      <c r="G82" s="35">
        <v>4</v>
      </c>
      <c r="H82" s="35">
        <v>3</v>
      </c>
      <c r="I82" s="35"/>
      <c r="J82" s="35">
        <v>15</v>
      </c>
      <c r="K82" s="35">
        <v>4</v>
      </c>
      <c r="L82" s="35">
        <v>4</v>
      </c>
      <c r="M82" s="35">
        <v>4</v>
      </c>
      <c r="N82" s="35">
        <v>3</v>
      </c>
      <c r="O82" s="162"/>
      <c r="P82" s="35">
        <v>15</v>
      </c>
      <c r="Q82" s="35">
        <v>4</v>
      </c>
      <c r="R82" s="35">
        <v>4</v>
      </c>
      <c r="S82" s="35">
        <v>4</v>
      </c>
      <c r="T82" s="35">
        <v>3</v>
      </c>
      <c r="U82" s="35"/>
      <c r="V82" s="35">
        <v>15</v>
      </c>
      <c r="W82" s="35">
        <v>4</v>
      </c>
      <c r="X82" s="35">
        <v>4</v>
      </c>
      <c r="Y82" s="35">
        <v>4</v>
      </c>
      <c r="Z82" s="35">
        <v>3</v>
      </c>
      <c r="AA82" s="162"/>
      <c r="AB82" s="35">
        <v>15</v>
      </c>
      <c r="AC82" s="35">
        <v>4</v>
      </c>
      <c r="AD82" s="35">
        <v>4</v>
      </c>
      <c r="AE82" s="35">
        <v>4</v>
      </c>
      <c r="AF82" s="35">
        <v>3</v>
      </c>
      <c r="AG82" s="35"/>
      <c r="AH82" s="35">
        <v>15</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6</v>
      </c>
      <c r="F95" s="162">
        <v>6</v>
      </c>
      <c r="G95" s="162">
        <v>6</v>
      </c>
      <c r="H95" s="162">
        <v>7</v>
      </c>
      <c r="I95" s="35"/>
      <c r="J95" s="35">
        <v>25</v>
      </c>
      <c r="K95" s="35">
        <v>6</v>
      </c>
      <c r="L95" s="35">
        <v>6</v>
      </c>
      <c r="M95" s="35">
        <v>6</v>
      </c>
      <c r="N95" s="35">
        <v>7</v>
      </c>
      <c r="O95" s="35"/>
      <c r="P95" s="35">
        <v>25</v>
      </c>
      <c r="Q95" s="162">
        <v>6</v>
      </c>
      <c r="R95" s="162">
        <v>6</v>
      </c>
      <c r="S95" s="162">
        <v>6</v>
      </c>
      <c r="T95" s="162">
        <v>7</v>
      </c>
      <c r="U95" s="35"/>
      <c r="V95" s="35">
        <v>25</v>
      </c>
      <c r="W95" s="162">
        <v>6</v>
      </c>
      <c r="X95" s="162">
        <v>6</v>
      </c>
      <c r="Y95" s="162">
        <v>6</v>
      </c>
      <c r="Z95" s="162">
        <v>7</v>
      </c>
      <c r="AA95" s="162"/>
      <c r="AB95" s="35">
        <v>25</v>
      </c>
      <c r="AC95" s="162">
        <v>6</v>
      </c>
      <c r="AD95" s="162">
        <v>6</v>
      </c>
      <c r="AE95" s="162">
        <v>6</v>
      </c>
      <c r="AF95" s="162">
        <v>7</v>
      </c>
      <c r="AG95" s="35"/>
      <c r="AH95" s="35">
        <v>25</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298" t="s">
        <v>23</v>
      </c>
      <c r="C109" s="298"/>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273"/>
      <c r="B110" s="450"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73"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73"/>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73"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73"/>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73"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73"/>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73"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73"/>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300" t="s">
        <v>27</v>
      </c>
      <c r="C152" s="446"/>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84"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84"/>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84"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84"/>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84"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84"/>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84" t="s">
        <v>88</v>
      </c>
      <c r="C171" s="284"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84"/>
      <c r="C172" s="284"/>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84"/>
      <c r="C173" s="284"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84"/>
      <c r="C174" s="284"/>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84"/>
      <c r="C175" s="284"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84"/>
      <c r="C176" s="284"/>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84" t="s">
        <v>141</v>
      </c>
      <c r="C177" s="284"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84"/>
      <c r="C178" s="284"/>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84"/>
      <c r="C179" s="284"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84"/>
      <c r="C180" s="284"/>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84"/>
      <c r="C181" s="284"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84"/>
      <c r="C182" s="284"/>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9.5" customHeight="1" x14ac:dyDescent="0.2">
      <c r="A183" s="273"/>
      <c r="B183" s="284" t="s">
        <v>89</v>
      </c>
      <c r="C183" s="284"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84"/>
      <c r="C184" s="284"/>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84"/>
      <c r="C185" s="284"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84"/>
      <c r="C186" s="284"/>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84"/>
      <c r="C187" s="284"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84"/>
      <c r="C188" s="284"/>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221">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548"/>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548"/>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548"/>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548"/>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219"/>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v>0.67</v>
      </c>
      <c r="F196" s="254">
        <v>0.67</v>
      </c>
      <c r="G196" s="254">
        <v>0.67</v>
      </c>
      <c r="H196" s="254">
        <v>0.67</v>
      </c>
      <c r="I196" s="45"/>
      <c r="J196" s="254">
        <v>0.67</v>
      </c>
      <c r="K196" s="254">
        <v>0.65</v>
      </c>
      <c r="L196" s="254">
        <v>0.65</v>
      </c>
      <c r="M196" s="254">
        <v>0.65</v>
      </c>
      <c r="N196" s="254">
        <v>0.65</v>
      </c>
      <c r="O196" s="45"/>
      <c r="P196" s="254">
        <v>0.65</v>
      </c>
      <c r="Q196" s="254">
        <v>0.63</v>
      </c>
      <c r="R196" s="254">
        <v>0.63</v>
      </c>
      <c r="S196" s="254">
        <v>0.63</v>
      </c>
      <c r="T196" s="254">
        <v>0.63</v>
      </c>
      <c r="U196" s="45"/>
      <c r="V196" s="254">
        <v>0.63</v>
      </c>
      <c r="W196" s="254">
        <v>0.61</v>
      </c>
      <c r="X196" s="254">
        <v>0.61</v>
      </c>
      <c r="Y196" s="254">
        <v>0.61</v>
      </c>
      <c r="Z196" s="254">
        <v>0.61</v>
      </c>
      <c r="AA196" s="45"/>
      <c r="AB196" s="254">
        <v>0.61</v>
      </c>
      <c r="AC196" s="254">
        <v>0.59</v>
      </c>
      <c r="AD196" s="254">
        <v>0.59</v>
      </c>
      <c r="AE196" s="254">
        <v>0.59</v>
      </c>
      <c r="AF196" s="254">
        <v>0.59</v>
      </c>
      <c r="AG196" s="29"/>
      <c r="AH196" s="254">
        <v>0.59</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f>17.02/17.02</f>
        <v>1</v>
      </c>
      <c r="F198" s="252">
        <f>17.02/17.02</f>
        <v>1</v>
      </c>
      <c r="G198" s="252">
        <f>17.02/17.02</f>
        <v>1</v>
      </c>
      <c r="H198" s="252">
        <f>17.02/17.02</f>
        <v>1</v>
      </c>
      <c r="I198" s="19"/>
      <c r="J198" s="252">
        <f>17.02/17.02</f>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0.75</v>
      </c>
      <c r="F200" s="250">
        <v>0.75</v>
      </c>
      <c r="G200" s="250">
        <v>0.75</v>
      </c>
      <c r="H200" s="250">
        <v>0.75</v>
      </c>
      <c r="I200" s="26"/>
      <c r="J200" s="250">
        <v>0.75</v>
      </c>
      <c r="K200" s="250">
        <v>0.75</v>
      </c>
      <c r="L200" s="250">
        <v>0.75</v>
      </c>
      <c r="M200" s="250">
        <v>0.75</v>
      </c>
      <c r="N200" s="250">
        <v>0.75</v>
      </c>
      <c r="O200" s="26"/>
      <c r="P200" s="250">
        <v>0.75</v>
      </c>
      <c r="Q200" s="250">
        <v>0.75</v>
      </c>
      <c r="R200" s="250">
        <v>0.75</v>
      </c>
      <c r="S200" s="250">
        <v>0.75</v>
      </c>
      <c r="T200" s="250">
        <v>0.75</v>
      </c>
      <c r="U200" s="26"/>
      <c r="V200" s="250">
        <v>0.75</v>
      </c>
      <c r="W200" s="250">
        <v>0.75</v>
      </c>
      <c r="X200" s="250">
        <v>0.75</v>
      </c>
      <c r="Y200" s="250">
        <v>0.75</v>
      </c>
      <c r="Z200" s="250">
        <v>0.75</v>
      </c>
      <c r="AA200" s="26"/>
      <c r="AB200" s="250">
        <v>0.75</v>
      </c>
      <c r="AC200" s="250">
        <v>0.75</v>
      </c>
      <c r="AD200" s="250">
        <v>0.75</v>
      </c>
      <c r="AE200" s="250">
        <v>0.75</v>
      </c>
      <c r="AF200" s="250">
        <v>0.75</v>
      </c>
      <c r="AG200" s="26"/>
      <c r="AH200" s="250">
        <v>0.75</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50">
        <v>100</v>
      </c>
      <c r="R202" s="250">
        <v>100</v>
      </c>
      <c r="S202" s="250">
        <v>100</v>
      </c>
      <c r="T202" s="250">
        <v>100</v>
      </c>
      <c r="U202" s="26"/>
      <c r="V202" s="250">
        <v>100</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51"/>
      <c r="R203" s="251"/>
      <c r="S203" s="251"/>
      <c r="T203" s="251"/>
      <c r="U203" s="26"/>
      <c r="V203" s="251"/>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10.795/81.69</f>
        <v>0.1321459174929612</v>
      </c>
      <c r="F208" s="249">
        <f>10.795/81.69</f>
        <v>0.1321459174929612</v>
      </c>
      <c r="G208" s="249">
        <f>10.795/81.69</f>
        <v>0.1321459174929612</v>
      </c>
      <c r="H208" s="249">
        <f>10.795/81.69</f>
        <v>0.1321459174929612</v>
      </c>
      <c r="I208" s="19"/>
      <c r="J208" s="249">
        <f>10.795/81.69</f>
        <v>0.1321459174929612</v>
      </c>
      <c r="K208" s="249">
        <f>E208</f>
        <v>0.1321459174929612</v>
      </c>
      <c r="L208" s="249">
        <f>F208</f>
        <v>0.1321459174929612</v>
      </c>
      <c r="M208" s="249">
        <f>G208</f>
        <v>0.1321459174929612</v>
      </c>
      <c r="N208" s="249">
        <f>H208</f>
        <v>0.1321459174929612</v>
      </c>
      <c r="O208" s="19"/>
      <c r="P208" s="249">
        <f>J208</f>
        <v>0.1321459174929612</v>
      </c>
      <c r="Q208" s="249">
        <f>K208</f>
        <v>0.1321459174929612</v>
      </c>
      <c r="R208" s="249">
        <f>L208</f>
        <v>0.1321459174929612</v>
      </c>
      <c r="S208" s="249">
        <f>M208</f>
        <v>0.1321459174929612</v>
      </c>
      <c r="T208" s="249">
        <f>N208</f>
        <v>0.1321459174929612</v>
      </c>
      <c r="U208" s="19"/>
      <c r="V208" s="249">
        <f>P208</f>
        <v>0.1321459174929612</v>
      </c>
      <c r="W208" s="249">
        <f>Q208</f>
        <v>0.1321459174929612</v>
      </c>
      <c r="X208" s="249">
        <f>R208</f>
        <v>0.1321459174929612</v>
      </c>
      <c r="Y208" s="249">
        <f>S208</f>
        <v>0.1321459174929612</v>
      </c>
      <c r="Z208" s="249">
        <f>T208</f>
        <v>0.1321459174929612</v>
      </c>
      <c r="AA208" s="19"/>
      <c r="AB208" s="249">
        <f>V208</f>
        <v>0.1321459174929612</v>
      </c>
      <c r="AC208" s="249">
        <f>W208</f>
        <v>0.1321459174929612</v>
      </c>
      <c r="AD208" s="249">
        <f>X208</f>
        <v>0.1321459174929612</v>
      </c>
      <c r="AE208" s="249">
        <f>Y208</f>
        <v>0.1321459174929612</v>
      </c>
      <c r="AF208" s="249">
        <f>Z208</f>
        <v>0.1321459174929612</v>
      </c>
      <c r="AG208" s="19"/>
      <c r="AH208" s="249">
        <f>AB208</f>
        <v>0.1321459174929612</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53">
        <f>4077/4077</f>
        <v>1</v>
      </c>
      <c r="F210" s="253">
        <f>4077/4077</f>
        <v>1</v>
      </c>
      <c r="G210" s="253">
        <f>4077/4077</f>
        <v>1</v>
      </c>
      <c r="H210" s="253">
        <f>4077/4077</f>
        <v>1</v>
      </c>
      <c r="I210" s="19"/>
      <c r="J210" s="253">
        <f>4077/4077</f>
        <v>1</v>
      </c>
      <c r="K210" s="253">
        <f>2669/2669</f>
        <v>1</v>
      </c>
      <c r="L210" s="253">
        <f>2669/2669</f>
        <v>1</v>
      </c>
      <c r="M210" s="253">
        <f>2669/2669</f>
        <v>1</v>
      </c>
      <c r="N210" s="253">
        <f>2669/2669</f>
        <v>1</v>
      </c>
      <c r="O210" s="19"/>
      <c r="P210" s="253">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53"/>
      <c r="F211" s="253"/>
      <c r="G211" s="253"/>
      <c r="H211" s="253"/>
      <c r="I211" s="19"/>
      <c r="J211" s="253"/>
      <c r="K211" s="253"/>
      <c r="L211" s="253"/>
      <c r="M211" s="253"/>
      <c r="N211" s="253"/>
      <c r="O211" s="19"/>
      <c r="P211" s="253"/>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v>0</v>
      </c>
      <c r="X213" s="249">
        <v>0</v>
      </c>
      <c r="Y213" s="249">
        <v>0</v>
      </c>
      <c r="Z213" s="249">
        <v>0</v>
      </c>
      <c r="AA213" s="19"/>
      <c r="AB213" s="249">
        <v>0</v>
      </c>
      <c r="AC213" s="249">
        <v>0</v>
      </c>
      <c r="AD213" s="249">
        <v>0</v>
      </c>
      <c r="AE213" s="249">
        <v>0</v>
      </c>
      <c r="AF213" s="249">
        <v>0</v>
      </c>
      <c r="AG213" s="19"/>
      <c r="AH213" s="249">
        <v>0</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0</v>
      </c>
      <c r="AD215" s="249">
        <v>0</v>
      </c>
      <c r="AE215" s="249">
        <v>0</v>
      </c>
      <c r="AF215" s="249">
        <v>0</v>
      </c>
      <c r="AG215" s="19"/>
      <c r="AH215" s="249">
        <v>0</v>
      </c>
    </row>
    <row r="216" spans="1:34" ht="25.5"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0</v>
      </c>
      <c r="F217" s="250">
        <v>0</v>
      </c>
      <c r="G217" s="250">
        <v>0</v>
      </c>
      <c r="H217" s="250">
        <v>0</v>
      </c>
      <c r="I217" s="26"/>
      <c r="J217" s="250">
        <v>0</v>
      </c>
      <c r="K217" s="250">
        <v>0</v>
      </c>
      <c r="L217" s="250">
        <v>0</v>
      </c>
      <c r="M217" s="250">
        <v>0</v>
      </c>
      <c r="N217" s="250">
        <v>0</v>
      </c>
      <c r="O217" s="26"/>
      <c r="P217" s="250">
        <v>0</v>
      </c>
      <c r="Q217" s="250">
        <v>0</v>
      </c>
      <c r="R217" s="250">
        <v>0</v>
      </c>
      <c r="S217" s="250">
        <v>0</v>
      </c>
      <c r="T217" s="250">
        <v>0</v>
      </c>
      <c r="U217" s="26"/>
      <c r="V217" s="250">
        <v>0</v>
      </c>
      <c r="W217" s="250">
        <v>0</v>
      </c>
      <c r="X217" s="250">
        <v>0</v>
      </c>
      <c r="Y217" s="250">
        <v>0</v>
      </c>
      <c r="Z217" s="250">
        <v>0</v>
      </c>
      <c r="AA217" s="26"/>
      <c r="AB217" s="250">
        <v>0</v>
      </c>
      <c r="AC217" s="250">
        <v>0</v>
      </c>
      <c r="AD217" s="250">
        <v>0</v>
      </c>
      <c r="AE217" s="250">
        <v>0</v>
      </c>
      <c r="AF217" s="250">
        <v>0</v>
      </c>
      <c r="AG217" s="26"/>
      <c r="AH217" s="250">
        <v>0</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693</v>
      </c>
      <c r="F226" s="23">
        <v>694</v>
      </c>
      <c r="G226" s="23">
        <v>694</v>
      </c>
      <c r="H226" s="23">
        <v>695</v>
      </c>
      <c r="I226" s="41"/>
      <c r="J226" s="41">
        <v>695</v>
      </c>
      <c r="K226" s="23">
        <v>696</v>
      </c>
      <c r="L226" s="23">
        <v>697</v>
      </c>
      <c r="M226" s="23">
        <v>697</v>
      </c>
      <c r="N226" s="23">
        <v>698</v>
      </c>
      <c r="O226" s="41"/>
      <c r="P226" s="41">
        <v>698</v>
      </c>
      <c r="Q226" s="23">
        <v>699</v>
      </c>
      <c r="R226" s="23">
        <v>700</v>
      </c>
      <c r="S226" s="23">
        <v>700</v>
      </c>
      <c r="T226" s="23">
        <v>701</v>
      </c>
      <c r="U226" s="23"/>
      <c r="V226" s="41">
        <v>701</v>
      </c>
      <c r="W226" s="23">
        <v>702</v>
      </c>
      <c r="X226" s="23">
        <v>703</v>
      </c>
      <c r="Y226" s="23">
        <v>703</v>
      </c>
      <c r="Z226" s="23">
        <v>704</v>
      </c>
      <c r="AA226" s="41"/>
      <c r="AB226" s="85">
        <v>704</v>
      </c>
      <c r="AC226" s="23">
        <v>705</v>
      </c>
      <c r="AD226" s="23">
        <v>706</v>
      </c>
      <c r="AE226" s="23">
        <v>706</v>
      </c>
      <c r="AF226" s="23">
        <v>707</v>
      </c>
      <c r="AG226" s="41"/>
      <c r="AH226" s="85">
        <v>707</v>
      </c>
    </row>
    <row r="227" spans="1:34" x14ac:dyDescent="0.2">
      <c r="A227" s="289"/>
      <c r="B227" s="284"/>
      <c r="C227" s="284"/>
      <c r="D227" s="25" t="s">
        <v>32</v>
      </c>
      <c r="E227" s="26">
        <v>10.795</v>
      </c>
      <c r="F227" s="26">
        <v>10.795</v>
      </c>
      <c r="G227" s="26">
        <v>10.795</v>
      </c>
      <c r="H227" s="26">
        <v>10.795</v>
      </c>
      <c r="I227" s="26"/>
      <c r="J227" s="26">
        <v>10.795</v>
      </c>
      <c r="K227" s="26">
        <v>10.795</v>
      </c>
      <c r="L227" s="26">
        <v>10.795</v>
      </c>
      <c r="M227" s="26">
        <v>10.795</v>
      </c>
      <c r="N227" s="26">
        <v>10.795</v>
      </c>
      <c r="O227" s="26"/>
      <c r="P227" s="26">
        <v>10.795</v>
      </c>
      <c r="Q227" s="26">
        <v>10.795</v>
      </c>
      <c r="R227" s="26">
        <v>10.795</v>
      </c>
      <c r="S227" s="26">
        <v>10.795</v>
      </c>
      <c r="T227" s="26">
        <v>10.795</v>
      </c>
      <c r="U227" s="44"/>
      <c r="V227" s="26">
        <v>10.795</v>
      </c>
      <c r="W227" s="26">
        <v>10.795</v>
      </c>
      <c r="X227" s="26">
        <v>10.795</v>
      </c>
      <c r="Y227" s="26">
        <v>10.795</v>
      </c>
      <c r="Z227" s="26">
        <v>10.795</v>
      </c>
      <c r="AA227" s="26"/>
      <c r="AB227" s="26">
        <v>10.795</v>
      </c>
      <c r="AC227" s="26">
        <v>10.795</v>
      </c>
      <c r="AD227" s="26">
        <v>10.795</v>
      </c>
      <c r="AE227" s="26">
        <v>10.795</v>
      </c>
      <c r="AF227" s="26">
        <v>10.795</v>
      </c>
      <c r="AG227" s="26"/>
      <c r="AH227" s="58">
        <f>AB227</f>
        <v>10.795</v>
      </c>
    </row>
    <row r="228" spans="1:34" ht="15.75" customHeight="1" x14ac:dyDescent="0.2">
      <c r="A228" s="289"/>
      <c r="B228" s="284" t="s">
        <v>46</v>
      </c>
      <c r="C228" s="284"/>
      <c r="D228" s="25" t="s">
        <v>32</v>
      </c>
      <c r="E228" s="26">
        <v>10.795</v>
      </c>
      <c r="F228" s="26">
        <v>10.795</v>
      </c>
      <c r="G228" s="26">
        <v>10.795</v>
      </c>
      <c r="H228" s="26">
        <v>10.795</v>
      </c>
      <c r="I228" s="26"/>
      <c r="J228" s="26">
        <v>10.795</v>
      </c>
      <c r="K228" s="26">
        <v>10.795</v>
      </c>
      <c r="L228" s="26">
        <v>10.795</v>
      </c>
      <c r="M228" s="26">
        <v>10.795</v>
      </c>
      <c r="N228" s="26">
        <v>10.795</v>
      </c>
      <c r="O228" s="26"/>
      <c r="P228" s="26">
        <v>10.795</v>
      </c>
      <c r="Q228" s="26">
        <v>10.795</v>
      </c>
      <c r="R228" s="26">
        <v>10.795</v>
      </c>
      <c r="S228" s="26">
        <v>10.795</v>
      </c>
      <c r="T228" s="26">
        <v>10.795</v>
      </c>
      <c r="U228" s="44"/>
      <c r="V228" s="26">
        <v>10.795</v>
      </c>
      <c r="W228" s="26">
        <v>10.795</v>
      </c>
      <c r="X228" s="26">
        <v>10.795</v>
      </c>
      <c r="Y228" s="26">
        <v>10.795</v>
      </c>
      <c r="Z228" s="26">
        <v>10.795</v>
      </c>
      <c r="AA228" s="26"/>
      <c r="AB228" s="26">
        <v>10.795</v>
      </c>
      <c r="AC228" s="26">
        <v>10.795</v>
      </c>
      <c r="AD228" s="26">
        <v>10.795</v>
      </c>
      <c r="AE228" s="26">
        <v>10.795</v>
      </c>
      <c r="AF228" s="26">
        <v>10.795</v>
      </c>
      <c r="AG228" s="26"/>
      <c r="AH228" s="58">
        <f>AB228</f>
        <v>10.795</v>
      </c>
    </row>
    <row r="229" spans="1:34" x14ac:dyDescent="0.2">
      <c r="A229" s="289"/>
      <c r="B229" s="284"/>
      <c r="C229" s="284"/>
      <c r="D229" s="25" t="s">
        <v>143</v>
      </c>
      <c r="E229" s="51">
        <v>1197.9749999999999</v>
      </c>
      <c r="F229" s="51">
        <v>1201.83</v>
      </c>
      <c r="G229" s="51">
        <v>1205.6849999999999</v>
      </c>
      <c r="H229" s="51">
        <v>1209.54</v>
      </c>
      <c r="I229" s="41"/>
      <c r="J229" s="41">
        <v>1209.54</v>
      </c>
      <c r="K229" s="51">
        <v>1213.395</v>
      </c>
      <c r="L229" s="51">
        <v>1217.25</v>
      </c>
      <c r="M229" s="51">
        <v>1221.105</v>
      </c>
      <c r="N229" s="51">
        <v>1224.96</v>
      </c>
      <c r="O229" s="41"/>
      <c r="P229" s="41">
        <v>1224.96</v>
      </c>
      <c r="Q229" s="51">
        <v>1228.7650000000001</v>
      </c>
      <c r="R229" s="51">
        <v>1232.57</v>
      </c>
      <c r="S229" s="51">
        <v>1236.375</v>
      </c>
      <c r="T229" s="51">
        <v>1240.18</v>
      </c>
      <c r="U229" s="51"/>
      <c r="V229" s="41">
        <v>1240.18</v>
      </c>
      <c r="W229" s="51">
        <v>1243.9349999999999</v>
      </c>
      <c r="X229" s="51">
        <v>1247.69</v>
      </c>
      <c r="Y229" s="51">
        <v>1251.4449999999999</v>
      </c>
      <c r="Z229" s="51">
        <v>1255.2</v>
      </c>
      <c r="AA229" s="41"/>
      <c r="AB229" s="41">
        <v>1255.2</v>
      </c>
      <c r="AC229" s="51">
        <v>1258.905</v>
      </c>
      <c r="AD229" s="51">
        <v>1262.6099999999999</v>
      </c>
      <c r="AE229" s="51">
        <v>1266.3150000000001</v>
      </c>
      <c r="AF229" s="51">
        <v>1270.02</v>
      </c>
      <c r="AG229" s="41"/>
      <c r="AH229" s="41">
        <v>1270.02</v>
      </c>
    </row>
    <row r="230" spans="1:34" ht="15.75" customHeight="1" x14ac:dyDescent="0.2">
      <c r="A230" s="289"/>
      <c r="B230" s="284" t="s">
        <v>47</v>
      </c>
      <c r="C230" s="284"/>
      <c r="D230" s="25" t="s">
        <v>32</v>
      </c>
      <c r="E230" s="45">
        <v>17.02</v>
      </c>
      <c r="F230" s="45">
        <v>17.02</v>
      </c>
      <c r="G230" s="45">
        <v>17.02</v>
      </c>
      <c r="H230" s="45">
        <v>17.02</v>
      </c>
      <c r="I230" s="41"/>
      <c r="J230" s="26">
        <v>17.02</v>
      </c>
      <c r="K230" s="26">
        <v>17.02</v>
      </c>
      <c r="L230" s="26">
        <v>17.02</v>
      </c>
      <c r="M230" s="26">
        <v>17.02</v>
      </c>
      <c r="N230" s="26">
        <v>17.02</v>
      </c>
      <c r="O230" s="26"/>
      <c r="P230" s="26">
        <v>17.02</v>
      </c>
      <c r="Q230" s="26">
        <v>17.02</v>
      </c>
      <c r="R230" s="26">
        <v>17.02</v>
      </c>
      <c r="S230" s="26">
        <v>17.02</v>
      </c>
      <c r="T230" s="26">
        <v>17.02</v>
      </c>
      <c r="U230" s="44"/>
      <c r="V230" s="26">
        <v>17.02</v>
      </c>
      <c r="W230" s="26">
        <v>17.02</v>
      </c>
      <c r="X230" s="26">
        <v>17.02</v>
      </c>
      <c r="Y230" s="26">
        <v>17.02</v>
      </c>
      <c r="Z230" s="26">
        <v>17.02</v>
      </c>
      <c r="AA230" s="26"/>
      <c r="AB230" s="26">
        <v>17.02</v>
      </c>
      <c r="AC230" s="26">
        <v>17.02</v>
      </c>
      <c r="AD230" s="26">
        <v>17.02</v>
      </c>
      <c r="AE230" s="26">
        <v>17.02</v>
      </c>
      <c r="AF230" s="26">
        <v>17.02</v>
      </c>
      <c r="AG230" s="26"/>
      <c r="AH230" s="58">
        <v>17.02</v>
      </c>
    </row>
    <row r="231" spans="1:34" x14ac:dyDescent="0.2">
      <c r="A231" s="289"/>
      <c r="B231" s="284"/>
      <c r="C231" s="284"/>
      <c r="D231" s="25" t="s">
        <v>143</v>
      </c>
      <c r="E231" s="51">
        <v>1197.9749999999999</v>
      </c>
      <c r="F231" s="51">
        <v>1201.83</v>
      </c>
      <c r="G231" s="51">
        <v>1205.6849999999999</v>
      </c>
      <c r="H231" s="51">
        <v>1209.54</v>
      </c>
      <c r="I231" s="41"/>
      <c r="J231" s="41">
        <v>1209.54</v>
      </c>
      <c r="K231" s="51">
        <v>1213.395</v>
      </c>
      <c r="L231" s="51">
        <v>1217.25</v>
      </c>
      <c r="M231" s="51">
        <v>1221.105</v>
      </c>
      <c r="N231" s="51">
        <v>1224.96</v>
      </c>
      <c r="O231" s="41"/>
      <c r="P231" s="41">
        <v>1224.96</v>
      </c>
      <c r="Q231" s="51">
        <v>1228.7650000000001</v>
      </c>
      <c r="R231" s="51">
        <v>1232.57</v>
      </c>
      <c r="S231" s="51">
        <v>1236.375</v>
      </c>
      <c r="T231" s="51">
        <v>1240.18</v>
      </c>
      <c r="U231" s="51"/>
      <c r="V231" s="41">
        <v>1240.18</v>
      </c>
      <c r="W231" s="51">
        <v>1243.9349999999999</v>
      </c>
      <c r="X231" s="51">
        <v>1247.69</v>
      </c>
      <c r="Y231" s="51">
        <v>1251.4449999999999</v>
      </c>
      <c r="Z231" s="51">
        <v>1255.2</v>
      </c>
      <c r="AA231" s="41"/>
      <c r="AB231" s="41">
        <v>1255.2</v>
      </c>
      <c r="AC231" s="51">
        <v>1258.905</v>
      </c>
      <c r="AD231" s="51">
        <v>1262.6099999999999</v>
      </c>
      <c r="AE231" s="51">
        <v>1266.3150000000001</v>
      </c>
      <c r="AF231" s="51">
        <v>1270.02</v>
      </c>
      <c r="AG231" s="41"/>
      <c r="AH231" s="41">
        <v>1270.02</v>
      </c>
    </row>
    <row r="232" spans="1:34" x14ac:dyDescent="0.2">
      <c r="A232" s="289"/>
      <c r="B232" s="284" t="s">
        <v>36</v>
      </c>
      <c r="C232" s="284"/>
      <c r="D232" s="25" t="s">
        <v>144</v>
      </c>
      <c r="E232" s="23">
        <v>0</v>
      </c>
      <c r="F232" s="23">
        <v>0</v>
      </c>
      <c r="G232" s="23">
        <v>0</v>
      </c>
      <c r="H232" s="23">
        <v>0</v>
      </c>
      <c r="I232" s="41"/>
      <c r="J232" s="23">
        <v>0</v>
      </c>
      <c r="K232" s="23">
        <v>0</v>
      </c>
      <c r="L232" s="23">
        <v>0</v>
      </c>
      <c r="M232" s="23">
        <v>0</v>
      </c>
      <c r="N232" s="23">
        <v>0</v>
      </c>
      <c r="O232" s="41"/>
      <c r="P232" s="23">
        <v>0</v>
      </c>
      <c r="Q232" s="23">
        <v>0</v>
      </c>
      <c r="R232" s="23">
        <v>0</v>
      </c>
      <c r="S232" s="23">
        <v>0</v>
      </c>
      <c r="T232" s="23">
        <v>0</v>
      </c>
      <c r="U232" s="41"/>
      <c r="V232" s="23">
        <v>0</v>
      </c>
      <c r="W232" s="23">
        <v>0</v>
      </c>
      <c r="X232" s="23">
        <v>0</v>
      </c>
      <c r="Y232" s="23">
        <v>0</v>
      </c>
      <c r="Z232" s="23">
        <v>0</v>
      </c>
      <c r="AA232" s="41"/>
      <c r="AB232" s="23">
        <v>0</v>
      </c>
      <c r="AC232" s="23">
        <v>0</v>
      </c>
      <c r="AD232" s="23">
        <v>0</v>
      </c>
      <c r="AE232" s="23">
        <v>0</v>
      </c>
      <c r="AF232" s="23">
        <v>0</v>
      </c>
      <c r="AG232" s="41"/>
      <c r="AH232" s="41">
        <v>0</v>
      </c>
    </row>
    <row r="233" spans="1:34" x14ac:dyDescent="0.2">
      <c r="A233" s="289"/>
      <c r="B233" s="284"/>
      <c r="C233" s="284"/>
      <c r="D233" s="25" t="s">
        <v>32</v>
      </c>
      <c r="E233" s="23">
        <v>0</v>
      </c>
      <c r="F233" s="23">
        <v>0</v>
      </c>
      <c r="G233" s="23">
        <v>0</v>
      </c>
      <c r="H233" s="23">
        <v>0</v>
      </c>
      <c r="I233" s="41"/>
      <c r="J233" s="23">
        <v>0</v>
      </c>
      <c r="K233" s="23">
        <v>0</v>
      </c>
      <c r="L233" s="23">
        <v>0</v>
      </c>
      <c r="M233" s="23">
        <v>0</v>
      </c>
      <c r="N233" s="23">
        <v>0</v>
      </c>
      <c r="O233" s="41"/>
      <c r="P233" s="23">
        <v>0</v>
      </c>
      <c r="Q233" s="23">
        <v>0</v>
      </c>
      <c r="R233" s="23">
        <v>0</v>
      </c>
      <c r="S233" s="23">
        <v>0</v>
      </c>
      <c r="T233" s="23">
        <v>0</v>
      </c>
      <c r="U233" s="41"/>
      <c r="V233" s="23">
        <v>0</v>
      </c>
      <c r="W233" s="23">
        <v>0</v>
      </c>
      <c r="X233" s="23">
        <v>0</v>
      </c>
      <c r="Y233" s="23">
        <v>0</v>
      </c>
      <c r="Z233" s="23">
        <v>0</v>
      </c>
      <c r="AA233" s="41"/>
      <c r="AB233" s="23">
        <v>0</v>
      </c>
      <c r="AC233" s="23">
        <v>0</v>
      </c>
      <c r="AD233" s="23">
        <v>0</v>
      </c>
      <c r="AE233" s="23">
        <v>0</v>
      </c>
      <c r="AF233" s="23">
        <v>0</v>
      </c>
      <c r="AG233" s="41"/>
      <c r="AH233" s="26">
        <v>0</v>
      </c>
    </row>
    <row r="234" spans="1:34" x14ac:dyDescent="0.2">
      <c r="A234" s="289"/>
      <c r="B234" s="284" t="s">
        <v>48</v>
      </c>
      <c r="C234" s="284"/>
      <c r="D234" s="24" t="s">
        <v>143</v>
      </c>
      <c r="E234" s="23">
        <v>0</v>
      </c>
      <c r="F234" s="23">
        <v>0</v>
      </c>
      <c r="G234" s="23">
        <v>0</v>
      </c>
      <c r="H234" s="23">
        <v>0</v>
      </c>
      <c r="I234" s="41"/>
      <c r="J234" s="23">
        <v>0</v>
      </c>
      <c r="K234" s="23">
        <v>0</v>
      </c>
      <c r="L234" s="23">
        <v>0</v>
      </c>
      <c r="M234" s="23">
        <v>0</v>
      </c>
      <c r="N234" s="23">
        <v>0</v>
      </c>
      <c r="O234" s="41"/>
      <c r="P234" s="23">
        <v>0</v>
      </c>
      <c r="Q234" s="23">
        <v>0</v>
      </c>
      <c r="R234" s="23">
        <v>0</v>
      </c>
      <c r="S234" s="23">
        <v>0</v>
      </c>
      <c r="T234" s="23">
        <v>0</v>
      </c>
      <c r="U234" s="41"/>
      <c r="V234" s="23">
        <v>0</v>
      </c>
      <c r="W234" s="23">
        <v>0</v>
      </c>
      <c r="X234" s="23">
        <v>0</v>
      </c>
      <c r="Y234" s="23">
        <v>0</v>
      </c>
      <c r="Z234" s="23">
        <v>0</v>
      </c>
      <c r="AA234" s="41"/>
      <c r="AB234" s="23">
        <v>0</v>
      </c>
      <c r="AC234" s="23">
        <v>0</v>
      </c>
      <c r="AD234" s="23">
        <v>0</v>
      </c>
      <c r="AE234" s="23">
        <v>0</v>
      </c>
      <c r="AF234" s="23">
        <v>0</v>
      </c>
      <c r="AG234" s="41"/>
      <c r="AH234" s="47">
        <v>0</v>
      </c>
    </row>
    <row r="235" spans="1:34" x14ac:dyDescent="0.2">
      <c r="A235" s="289"/>
      <c r="B235" s="284"/>
      <c r="C235" s="284"/>
      <c r="D235" s="24" t="s">
        <v>143</v>
      </c>
      <c r="E235" s="47">
        <f>2132-10</f>
        <v>2122</v>
      </c>
      <c r="F235" s="47">
        <f>2132-10</f>
        <v>2122</v>
      </c>
      <c r="G235" s="47">
        <f>2132-10</f>
        <v>2122</v>
      </c>
      <c r="H235" s="47">
        <f>2132-10</f>
        <v>2122</v>
      </c>
      <c r="I235" s="41"/>
      <c r="J235" s="47">
        <f>2132-10</f>
        <v>2122</v>
      </c>
      <c r="K235" s="41">
        <f>E235-10</f>
        <v>2112</v>
      </c>
      <c r="L235" s="41">
        <f>F235-10</f>
        <v>2112</v>
      </c>
      <c r="M235" s="41">
        <f>G235-10</f>
        <v>2112</v>
      </c>
      <c r="N235" s="41">
        <f>H235-10</f>
        <v>2112</v>
      </c>
      <c r="O235" s="41"/>
      <c r="P235" s="41">
        <f>J235-10</f>
        <v>2112</v>
      </c>
      <c r="Q235" s="41">
        <f>K235-10</f>
        <v>2102</v>
      </c>
      <c r="R235" s="41">
        <f>L235-10</f>
        <v>2102</v>
      </c>
      <c r="S235" s="41">
        <f>M235-10</f>
        <v>2102</v>
      </c>
      <c r="T235" s="41">
        <f>N235-10</f>
        <v>2102</v>
      </c>
      <c r="U235" s="41"/>
      <c r="V235" s="41">
        <f>P235-10</f>
        <v>2102</v>
      </c>
      <c r="W235" s="41">
        <f>Q235-10</f>
        <v>2092</v>
      </c>
      <c r="X235" s="41">
        <f>R235-10</f>
        <v>2092</v>
      </c>
      <c r="Y235" s="41">
        <f>S235-10</f>
        <v>2092</v>
      </c>
      <c r="Z235" s="41">
        <f>T235-10</f>
        <v>2092</v>
      </c>
      <c r="AA235" s="41"/>
      <c r="AB235" s="41">
        <f>V235-10</f>
        <v>2092</v>
      </c>
      <c r="AC235" s="41">
        <f>W235-10</f>
        <v>2082</v>
      </c>
      <c r="AD235" s="41">
        <f>X235-10</f>
        <v>2082</v>
      </c>
      <c r="AE235" s="41">
        <f>Y235-10</f>
        <v>2082</v>
      </c>
      <c r="AF235" s="41">
        <f>Z235-10</f>
        <v>2082</v>
      </c>
      <c r="AG235" s="41"/>
      <c r="AH235" s="41">
        <f>AB235-10</f>
        <v>2082</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949">
    <mergeCell ref="A2:L2"/>
    <mergeCell ref="A3:M3"/>
    <mergeCell ref="A8:P8"/>
    <mergeCell ref="B236:AH236"/>
    <mergeCell ref="B212:AH212"/>
    <mergeCell ref="B195:AH195"/>
    <mergeCell ref="B189:AH189"/>
    <mergeCell ref="B124:AH124"/>
    <mergeCell ref="B80:AH80"/>
    <mergeCell ref="B73:AH73"/>
    <mergeCell ref="V253:V254"/>
    <mergeCell ref="AB253:AB254"/>
    <mergeCell ref="AH253:AH254"/>
    <mergeCell ref="J249:J250"/>
    <mergeCell ref="P249:P250"/>
    <mergeCell ref="V249:V250"/>
    <mergeCell ref="AB249:AB250"/>
    <mergeCell ref="AH249:AH250"/>
    <mergeCell ref="J251:J252"/>
    <mergeCell ref="P251:P252"/>
    <mergeCell ref="V251:V252"/>
    <mergeCell ref="AB251:AB252"/>
    <mergeCell ref="AH251:AH252"/>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AD243:AD244"/>
    <mergeCell ref="AE243:AE244"/>
    <mergeCell ref="AH217:AH218"/>
    <mergeCell ref="G222:H222"/>
    <mergeCell ref="M222:N222"/>
    <mergeCell ref="S222:T222"/>
    <mergeCell ref="Y222:Z222"/>
    <mergeCell ref="AE222:AF222"/>
    <mergeCell ref="D215:D216"/>
    <mergeCell ref="J215:J216"/>
    <mergeCell ref="P215:P216"/>
    <mergeCell ref="V215:V216"/>
    <mergeCell ref="AB215:AB216"/>
    <mergeCell ref="AH215:AH216"/>
    <mergeCell ref="D213:D214"/>
    <mergeCell ref="J213:J214"/>
    <mergeCell ref="P213:P214"/>
    <mergeCell ref="V213:V214"/>
    <mergeCell ref="AB213:AB214"/>
    <mergeCell ref="AH213:AH214"/>
    <mergeCell ref="K213:K214"/>
    <mergeCell ref="L213:L214"/>
    <mergeCell ref="M213:M214"/>
    <mergeCell ref="R213:R214"/>
    <mergeCell ref="Y213:Y214"/>
    <mergeCell ref="Z213:Z214"/>
    <mergeCell ref="W215:W216"/>
    <mergeCell ref="X215:X216"/>
    <mergeCell ref="Y215:Y216"/>
    <mergeCell ref="Z215:Z216"/>
    <mergeCell ref="D210:D211"/>
    <mergeCell ref="J210:J211"/>
    <mergeCell ref="P210:P211"/>
    <mergeCell ref="V210:V211"/>
    <mergeCell ref="AB210:AB211"/>
    <mergeCell ref="AH210:AH211"/>
    <mergeCell ref="E210:E211"/>
    <mergeCell ref="F210:F211"/>
    <mergeCell ref="G210:G211"/>
    <mergeCell ref="H210:H211"/>
    <mergeCell ref="J206:J207"/>
    <mergeCell ref="P206:P207"/>
    <mergeCell ref="V206:V207"/>
    <mergeCell ref="AB206:AB207"/>
    <mergeCell ref="AH206:AH207"/>
    <mergeCell ref="J208:J209"/>
    <mergeCell ref="P208:P209"/>
    <mergeCell ref="V208:V209"/>
    <mergeCell ref="AB208:AB209"/>
    <mergeCell ref="AH208:AH209"/>
    <mergeCell ref="E206:E207"/>
    <mergeCell ref="F206:F207"/>
    <mergeCell ref="G206:G207"/>
    <mergeCell ref="H206:H207"/>
    <mergeCell ref="E208:E209"/>
    <mergeCell ref="F208:F209"/>
    <mergeCell ref="G208:G209"/>
    <mergeCell ref="H208:H209"/>
    <mergeCell ref="K206:K207"/>
    <mergeCell ref="L206:L207"/>
    <mergeCell ref="M206:M207"/>
    <mergeCell ref="N206:N207"/>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K200:K201"/>
    <mergeCell ref="L200:L201"/>
    <mergeCell ref="M200:M201"/>
    <mergeCell ref="N200:N201"/>
    <mergeCell ref="K202:K203"/>
    <mergeCell ref="L202:L203"/>
    <mergeCell ref="M202:M203"/>
    <mergeCell ref="N202:N203"/>
    <mergeCell ref="K204:K205"/>
    <mergeCell ref="L204:L205"/>
    <mergeCell ref="M204:M205"/>
    <mergeCell ref="N204:N205"/>
    <mergeCell ref="J196:J197"/>
    <mergeCell ref="P196:P197"/>
    <mergeCell ref="V196:V197"/>
    <mergeCell ref="AB196:AB197"/>
    <mergeCell ref="AH196:AH197"/>
    <mergeCell ref="J198:J199"/>
    <mergeCell ref="P198:P199"/>
    <mergeCell ref="V198:V199"/>
    <mergeCell ref="AB198:AB199"/>
    <mergeCell ref="AH198:AH199"/>
    <mergeCell ref="V190:V191"/>
    <mergeCell ref="AB190:AB191"/>
    <mergeCell ref="AH190:AH191"/>
    <mergeCell ref="J192:J193"/>
    <mergeCell ref="P192:P193"/>
    <mergeCell ref="V192:V193"/>
    <mergeCell ref="AB192:AB193"/>
    <mergeCell ref="AH192:AH193"/>
    <mergeCell ref="AD192:AD193"/>
    <mergeCell ref="AE192:AE193"/>
    <mergeCell ref="AF192:AF193"/>
    <mergeCell ref="K196:K197"/>
    <mergeCell ref="L196:L197"/>
    <mergeCell ref="M196:M197"/>
    <mergeCell ref="N196:N197"/>
    <mergeCell ref="K198:K199"/>
    <mergeCell ref="L198:L199"/>
    <mergeCell ref="M198:M199"/>
    <mergeCell ref="N198:N199"/>
    <mergeCell ref="AH185:AH186"/>
    <mergeCell ref="J187:J188"/>
    <mergeCell ref="P187:P188"/>
    <mergeCell ref="V187:V188"/>
    <mergeCell ref="AB187:AB188"/>
    <mergeCell ref="AH187:AH188"/>
    <mergeCell ref="V181:V182"/>
    <mergeCell ref="AB181:AB182"/>
    <mergeCell ref="AH181:AH182"/>
    <mergeCell ref="J183:J184"/>
    <mergeCell ref="P183:P184"/>
    <mergeCell ref="V183:V184"/>
    <mergeCell ref="AB183:AB184"/>
    <mergeCell ref="AH183:AH184"/>
    <mergeCell ref="V177:V178"/>
    <mergeCell ref="AB177:AB178"/>
    <mergeCell ref="AH177:AH178"/>
    <mergeCell ref="J179:J180"/>
    <mergeCell ref="P179:P180"/>
    <mergeCell ref="V179:V180"/>
    <mergeCell ref="AB179:AB180"/>
    <mergeCell ref="AH179:AH180"/>
    <mergeCell ref="AD179:AD180"/>
    <mergeCell ref="AE179:AE180"/>
    <mergeCell ref="AF179:AF180"/>
    <mergeCell ref="Z181:Z182"/>
    <mergeCell ref="AC181:AC182"/>
    <mergeCell ref="AD181:AD182"/>
    <mergeCell ref="AE181:AE182"/>
    <mergeCell ref="AF181:AF182"/>
    <mergeCell ref="AH173:AH174"/>
    <mergeCell ref="J175:J176"/>
    <mergeCell ref="P175:P176"/>
    <mergeCell ref="V175:V176"/>
    <mergeCell ref="AB175:AB176"/>
    <mergeCell ref="AH175:AH176"/>
    <mergeCell ref="V169:V170"/>
    <mergeCell ref="AB169:AB170"/>
    <mergeCell ref="AH169:AH170"/>
    <mergeCell ref="J171:J172"/>
    <mergeCell ref="P171:P172"/>
    <mergeCell ref="V171:V172"/>
    <mergeCell ref="AB171:AB172"/>
    <mergeCell ref="AH171:AH172"/>
    <mergeCell ref="V165:V166"/>
    <mergeCell ref="AB165:AB166"/>
    <mergeCell ref="AH165:AH166"/>
    <mergeCell ref="J167:J168"/>
    <mergeCell ref="P167:P168"/>
    <mergeCell ref="V167:V168"/>
    <mergeCell ref="AB167:AB168"/>
    <mergeCell ref="AH167:AH168"/>
    <mergeCell ref="AD167:AD168"/>
    <mergeCell ref="AE167:AE168"/>
    <mergeCell ref="AF167:AF168"/>
    <mergeCell ref="Z169:Z170"/>
    <mergeCell ref="AC169:AC170"/>
    <mergeCell ref="AD169:AD170"/>
    <mergeCell ref="AE169:AE170"/>
    <mergeCell ref="AF169:AF170"/>
    <mergeCell ref="AH161:AH162"/>
    <mergeCell ref="J163:J164"/>
    <mergeCell ref="P163:P164"/>
    <mergeCell ref="V163:V164"/>
    <mergeCell ref="AB163:AB164"/>
    <mergeCell ref="AH163:AH164"/>
    <mergeCell ref="V157:V158"/>
    <mergeCell ref="AB157:AB158"/>
    <mergeCell ref="AH157:AH158"/>
    <mergeCell ref="J159:J160"/>
    <mergeCell ref="P159:P160"/>
    <mergeCell ref="V159:V160"/>
    <mergeCell ref="AB159:AB160"/>
    <mergeCell ref="AH159:AH160"/>
    <mergeCell ref="V153:V154"/>
    <mergeCell ref="AB153:AB154"/>
    <mergeCell ref="AH153:AH154"/>
    <mergeCell ref="J155:J156"/>
    <mergeCell ref="P155:P156"/>
    <mergeCell ref="V155:V156"/>
    <mergeCell ref="AB155:AB156"/>
    <mergeCell ref="AH155:AH156"/>
    <mergeCell ref="AD155:AD156"/>
    <mergeCell ref="AE155:AE156"/>
    <mergeCell ref="AF155:AF156"/>
    <mergeCell ref="Z157:Z158"/>
    <mergeCell ref="AC157:AC158"/>
    <mergeCell ref="AD157:AD158"/>
    <mergeCell ref="AE157:AE158"/>
    <mergeCell ref="AF157:AF158"/>
    <mergeCell ref="J148:J149"/>
    <mergeCell ref="P148:P149"/>
    <mergeCell ref="V148:V149"/>
    <mergeCell ref="AB148:AB149"/>
    <mergeCell ref="AH148:AH149"/>
    <mergeCell ref="J150:J151"/>
    <mergeCell ref="P150:P151"/>
    <mergeCell ref="V150:V151"/>
    <mergeCell ref="AB150:AB151"/>
    <mergeCell ref="AH150:AH151"/>
    <mergeCell ref="J141:J142"/>
    <mergeCell ref="P141:P142"/>
    <mergeCell ref="V141:V142"/>
    <mergeCell ref="AB141:AB142"/>
    <mergeCell ref="AH141:AH142"/>
    <mergeCell ref="J146:J147"/>
    <mergeCell ref="P146:P147"/>
    <mergeCell ref="V146:V147"/>
    <mergeCell ref="AB146:AB147"/>
    <mergeCell ref="AH146:AH147"/>
    <mergeCell ref="Y141:Y142"/>
    <mergeCell ref="Z141:Z142"/>
    <mergeCell ref="AA141:AA142"/>
    <mergeCell ref="AC141:AC142"/>
    <mergeCell ref="AD141:AD142"/>
    <mergeCell ref="AE141:AE142"/>
    <mergeCell ref="AF141:AF142"/>
    <mergeCell ref="AG141:AG142"/>
    <mergeCell ref="Y146:Y147"/>
    <mergeCell ref="Z146:Z147"/>
    <mergeCell ref="AA146:AA147"/>
    <mergeCell ref="AC146:AC147"/>
    <mergeCell ref="J137:J138"/>
    <mergeCell ref="P137:P138"/>
    <mergeCell ref="V137:V138"/>
    <mergeCell ref="AB137:AB138"/>
    <mergeCell ref="AH137:AH138"/>
    <mergeCell ref="J139:J140"/>
    <mergeCell ref="P139:P140"/>
    <mergeCell ref="V139:V140"/>
    <mergeCell ref="AB139:AB140"/>
    <mergeCell ref="AH139:AH140"/>
    <mergeCell ref="J133:J134"/>
    <mergeCell ref="P133:P134"/>
    <mergeCell ref="V133:V134"/>
    <mergeCell ref="AB133:AB134"/>
    <mergeCell ref="AH133:AH134"/>
    <mergeCell ref="J135:J136"/>
    <mergeCell ref="P135:P136"/>
    <mergeCell ref="V135:V136"/>
    <mergeCell ref="AB135:AB136"/>
    <mergeCell ref="AH135:AH136"/>
    <mergeCell ref="AG133:AG134"/>
    <mergeCell ref="Y135:Y136"/>
    <mergeCell ref="Z135:Z136"/>
    <mergeCell ref="AA135:AA136"/>
    <mergeCell ref="AC135:AC136"/>
    <mergeCell ref="AD135:AD136"/>
    <mergeCell ref="AE135:AE136"/>
    <mergeCell ref="AF135:AF136"/>
    <mergeCell ref="AG135:AG136"/>
    <mergeCell ref="Y137:Y138"/>
    <mergeCell ref="Z137:Z138"/>
    <mergeCell ref="AA137:AA138"/>
    <mergeCell ref="J129:J130"/>
    <mergeCell ref="P129:P130"/>
    <mergeCell ref="V129:V130"/>
    <mergeCell ref="AB129:AB130"/>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Y125:Y126"/>
    <mergeCell ref="Z125:Z126"/>
    <mergeCell ref="AA125:AA126"/>
    <mergeCell ref="AB125:AB126"/>
    <mergeCell ref="AC125:AC126"/>
    <mergeCell ref="AD125:AD126"/>
    <mergeCell ref="AE125:AE126"/>
    <mergeCell ref="AF125:AF126"/>
    <mergeCell ref="AG125:AG126"/>
    <mergeCell ref="AH125:AH126"/>
    <mergeCell ref="Y127:Y128"/>
    <mergeCell ref="Z127:Z128"/>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6:AD107"/>
    <mergeCell ref="AE106:AE107"/>
    <mergeCell ref="AF106:AF107"/>
    <mergeCell ref="AD110:AD111"/>
    <mergeCell ref="AE110:AE111"/>
    <mergeCell ref="AF110:AF111"/>
    <mergeCell ref="AD112:AD113"/>
    <mergeCell ref="AE112:AE113"/>
    <mergeCell ref="AF112:AF113"/>
    <mergeCell ref="J100:J101"/>
    <mergeCell ref="P100:P101"/>
    <mergeCell ref="V100:V101"/>
    <mergeCell ref="AB100:AB101"/>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L96:L97"/>
    <mergeCell ref="M96:M97"/>
    <mergeCell ref="N96:N97"/>
    <mergeCell ref="E98:E99"/>
    <mergeCell ref="F98:F99"/>
    <mergeCell ref="G98:G99"/>
    <mergeCell ref="H98:H99"/>
    <mergeCell ref="K98:K99"/>
    <mergeCell ref="L98:L99"/>
    <mergeCell ref="M98:M99"/>
    <mergeCell ref="N98:N99"/>
    <mergeCell ref="Q98:Q99"/>
    <mergeCell ref="R98:R99"/>
    <mergeCell ref="S98:S99"/>
    <mergeCell ref="T98:T99"/>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AD85:AD86"/>
    <mergeCell ref="AE85:AE86"/>
    <mergeCell ref="AF85:AF86"/>
    <mergeCell ref="AD87:AD88"/>
    <mergeCell ref="AE87:AE88"/>
    <mergeCell ref="AF87:AF88"/>
    <mergeCell ref="D71:D72"/>
    <mergeCell ref="J71:J72"/>
    <mergeCell ref="P71:P72"/>
    <mergeCell ref="V71:V72"/>
    <mergeCell ref="AB71:AB72"/>
    <mergeCell ref="AH71:AH72"/>
    <mergeCell ref="R71:R72"/>
    <mergeCell ref="S71:S72"/>
    <mergeCell ref="T71:T72"/>
    <mergeCell ref="W71:W72"/>
    <mergeCell ref="E74:E75"/>
    <mergeCell ref="F74:F75"/>
    <mergeCell ref="G74:G75"/>
    <mergeCell ref="H74:H75"/>
    <mergeCell ref="K74:K75"/>
    <mergeCell ref="L74:L75"/>
    <mergeCell ref="M74:M75"/>
    <mergeCell ref="N74:N75"/>
    <mergeCell ref="Q74:Q75"/>
    <mergeCell ref="X74:X75"/>
    <mergeCell ref="Y74:Y75"/>
    <mergeCell ref="Z74:Z75"/>
    <mergeCell ref="D69:D70"/>
    <mergeCell ref="J69:J70"/>
    <mergeCell ref="P69:P70"/>
    <mergeCell ref="V69:V70"/>
    <mergeCell ref="AB69:AB70"/>
    <mergeCell ref="AH69:AH70"/>
    <mergeCell ref="R69:R70"/>
    <mergeCell ref="S69:S70"/>
    <mergeCell ref="T69:T70"/>
    <mergeCell ref="W69:W70"/>
    <mergeCell ref="D67:D68"/>
    <mergeCell ref="J67:J68"/>
    <mergeCell ref="P67:P68"/>
    <mergeCell ref="V67:V68"/>
    <mergeCell ref="AB67:AB68"/>
    <mergeCell ref="AH67:AH68"/>
    <mergeCell ref="R67:R68"/>
    <mergeCell ref="S67:S68"/>
    <mergeCell ref="T67:T68"/>
    <mergeCell ref="W67:W68"/>
    <mergeCell ref="E69:E70"/>
    <mergeCell ref="F69:F70"/>
    <mergeCell ref="G69:G70"/>
    <mergeCell ref="H69:H70"/>
    <mergeCell ref="K69:K70"/>
    <mergeCell ref="L69:L70"/>
    <mergeCell ref="M69:M70"/>
    <mergeCell ref="N69:N70"/>
    <mergeCell ref="Q69:Q70"/>
    <mergeCell ref="X69:X70"/>
    <mergeCell ref="Y69:Y70"/>
    <mergeCell ref="Z69:Z70"/>
    <mergeCell ref="D65:D66"/>
    <mergeCell ref="J65:J66"/>
    <mergeCell ref="P65:P66"/>
    <mergeCell ref="V65:V66"/>
    <mergeCell ref="AB65:AB66"/>
    <mergeCell ref="AH65:AH66"/>
    <mergeCell ref="R65:R66"/>
    <mergeCell ref="S65:S66"/>
    <mergeCell ref="T65:T66"/>
    <mergeCell ref="W65:W66"/>
    <mergeCell ref="AH61:AH62"/>
    <mergeCell ref="D63:D64"/>
    <mergeCell ref="J63:J64"/>
    <mergeCell ref="P63:P64"/>
    <mergeCell ref="V63:V64"/>
    <mergeCell ref="AB63:AB64"/>
    <mergeCell ref="AH63:AH64"/>
    <mergeCell ref="D61:D62"/>
    <mergeCell ref="I61:I62"/>
    <mergeCell ref="J61:J62"/>
    <mergeCell ref="E61:E62"/>
    <mergeCell ref="F61:F62"/>
    <mergeCell ref="G61:G62"/>
    <mergeCell ref="H61:H62"/>
    <mergeCell ref="K61:K62"/>
    <mergeCell ref="L61:L62"/>
    <mergeCell ref="M61:M62"/>
    <mergeCell ref="N61:N62"/>
    <mergeCell ref="Q61:Q62"/>
    <mergeCell ref="R61:R62"/>
    <mergeCell ref="S61:S62"/>
    <mergeCell ref="P61:P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B58:AH58"/>
    <mergeCell ref="C56:C57"/>
    <mergeCell ref="B52:B57"/>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E52:E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E46:E47"/>
    <mergeCell ref="F46:F47"/>
    <mergeCell ref="G46:G47"/>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AH35:AH36"/>
    <mergeCell ref="D37:D38"/>
    <mergeCell ref="J37:J38"/>
    <mergeCell ref="O37:O38"/>
    <mergeCell ref="P37:P38"/>
    <mergeCell ref="V37:V38"/>
    <mergeCell ref="AB37:AB38"/>
    <mergeCell ref="AH37:AH38"/>
    <mergeCell ref="D35:D36"/>
    <mergeCell ref="M42:M43"/>
    <mergeCell ref="N42:N43"/>
    <mergeCell ref="Q42:Q43"/>
    <mergeCell ref="R42:R43"/>
    <mergeCell ref="S42:S43"/>
    <mergeCell ref="T42:T43"/>
    <mergeCell ref="W42:W43"/>
    <mergeCell ref="X42:X43"/>
    <mergeCell ref="O31:O32"/>
    <mergeCell ref="P31:P32"/>
    <mergeCell ref="AB35:AB36"/>
    <mergeCell ref="AH31:AH32"/>
    <mergeCell ref="D33:D34"/>
    <mergeCell ref="I33:I34"/>
    <mergeCell ref="J33:J34"/>
    <mergeCell ref="O33:O34"/>
    <mergeCell ref="P33:P34"/>
    <mergeCell ref="V33:V34"/>
    <mergeCell ref="AB33:AB34"/>
    <mergeCell ref="AH33:AH34"/>
    <mergeCell ref="D31:D32"/>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L27:L28"/>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N23:N24"/>
    <mergeCell ref="Q23:Q24"/>
    <mergeCell ref="R23:R24"/>
    <mergeCell ref="S23:S24"/>
    <mergeCell ref="E23:E24"/>
    <mergeCell ref="F23:F24"/>
    <mergeCell ref="G23:G24"/>
    <mergeCell ref="H23:H24"/>
    <mergeCell ref="K23:K24"/>
    <mergeCell ref="L23:L24"/>
    <mergeCell ref="M23:M24"/>
    <mergeCell ref="T23:T24"/>
    <mergeCell ref="U23:U24"/>
    <mergeCell ref="W23:W24"/>
    <mergeCell ref="X23:X24"/>
    <mergeCell ref="AH19:AH20"/>
    <mergeCell ref="D21:D22"/>
    <mergeCell ref="I21:I22"/>
    <mergeCell ref="J21:J22"/>
    <mergeCell ref="O21:O22"/>
    <mergeCell ref="P21:P22"/>
    <mergeCell ref="V21:V22"/>
    <mergeCell ref="AB21:AB22"/>
    <mergeCell ref="AH21:AH22"/>
    <mergeCell ref="D19:D20"/>
    <mergeCell ref="I19:I20"/>
    <mergeCell ref="J19:J20"/>
    <mergeCell ref="O19:O20"/>
    <mergeCell ref="P19:P20"/>
    <mergeCell ref="V19:V20"/>
    <mergeCell ref="L19:L20"/>
    <mergeCell ref="M19:M20"/>
    <mergeCell ref="N19:N20"/>
    <mergeCell ref="Q19:Q20"/>
    <mergeCell ref="E19:E20"/>
    <mergeCell ref="F19:F20"/>
    <mergeCell ref="G19:G20"/>
    <mergeCell ref="H19:H20"/>
    <mergeCell ref="K19:K20"/>
    <mergeCell ref="R19:R20"/>
    <mergeCell ref="S19:S20"/>
    <mergeCell ref="T19:T20"/>
    <mergeCell ref="U19:U20"/>
    <mergeCell ref="W19:W20"/>
    <mergeCell ref="X19:X20"/>
    <mergeCell ref="Y19:Y20"/>
    <mergeCell ref="Z19:Z20"/>
    <mergeCell ref="AH15:AH16"/>
    <mergeCell ref="D17:D18"/>
    <mergeCell ref="I17:I18"/>
    <mergeCell ref="J17:J18"/>
    <mergeCell ref="O17:O18"/>
    <mergeCell ref="P17:P18"/>
    <mergeCell ref="V17:V18"/>
    <mergeCell ref="AB17:AB18"/>
    <mergeCell ref="AH17:AH18"/>
    <mergeCell ref="J15:J16"/>
    <mergeCell ref="O15:O16"/>
    <mergeCell ref="P15:P16"/>
    <mergeCell ref="V15:V16"/>
    <mergeCell ref="N15:N16"/>
    <mergeCell ref="Q15:Q16"/>
    <mergeCell ref="R15:R16"/>
    <mergeCell ref="S15:S16"/>
    <mergeCell ref="AG15:AG16"/>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AC10:AG10"/>
    <mergeCell ref="E11:J11"/>
    <mergeCell ref="K11:O11"/>
    <mergeCell ref="Q11:U11"/>
    <mergeCell ref="W11:AA11"/>
    <mergeCell ref="AC11:AG11"/>
    <mergeCell ref="C141:C142"/>
    <mergeCell ref="N3:N5"/>
    <mergeCell ref="O3:O5"/>
    <mergeCell ref="Y5:Y6"/>
    <mergeCell ref="E10:I10"/>
    <mergeCell ref="K10:P10"/>
    <mergeCell ref="Q10:V10"/>
    <mergeCell ref="W10:AA10"/>
    <mergeCell ref="D15:D16"/>
    <mergeCell ref="I15:I16"/>
    <mergeCell ref="C129:C130"/>
    <mergeCell ref="C93:C94"/>
    <mergeCell ref="C44:C45"/>
    <mergeCell ref="C87:C88"/>
    <mergeCell ref="C116:C117"/>
    <mergeCell ref="B109:C109"/>
    <mergeCell ref="B112:B117"/>
    <mergeCell ref="B63:C64"/>
    <mergeCell ref="C85:C86"/>
    <mergeCell ref="C83:C84"/>
    <mergeCell ref="D137:D138"/>
    <mergeCell ref="D139:D140"/>
    <mergeCell ref="D141:D142"/>
    <mergeCell ref="E125:E126"/>
    <mergeCell ref="F125:F126"/>
    <mergeCell ref="G125:G126"/>
    <mergeCell ref="B74:C75"/>
    <mergeCell ref="A153:A188"/>
    <mergeCell ref="B190:C191"/>
    <mergeCell ref="A109:A123"/>
    <mergeCell ref="B137:B142"/>
    <mergeCell ref="C131:C132"/>
    <mergeCell ref="C185:C186"/>
    <mergeCell ref="C169:C170"/>
    <mergeCell ref="A125:A151"/>
    <mergeCell ref="B177:B182"/>
    <mergeCell ref="B153:B158"/>
    <mergeCell ref="C133:C134"/>
    <mergeCell ref="C135:C136"/>
    <mergeCell ref="C96:C97"/>
    <mergeCell ref="C146:C147"/>
    <mergeCell ref="C163:C164"/>
    <mergeCell ref="B159:B164"/>
    <mergeCell ref="B152:AH152"/>
    <mergeCell ref="B131:B136"/>
    <mergeCell ref="B146:B151"/>
    <mergeCell ref="B118:B123"/>
    <mergeCell ref="D74:D75"/>
    <mergeCell ref="J74:J75"/>
    <mergeCell ref="P74:P75"/>
    <mergeCell ref="V74:V75"/>
    <mergeCell ref="AB74:AB75"/>
    <mergeCell ref="AH74:AH75"/>
    <mergeCell ref="R74:R75"/>
    <mergeCell ref="S74:S75"/>
    <mergeCell ref="T74:T75"/>
    <mergeCell ref="W74:W75"/>
    <mergeCell ref="J85:J86"/>
    <mergeCell ref="C155:C156"/>
    <mergeCell ref="C157:C158"/>
    <mergeCell ref="C161:C162"/>
    <mergeCell ref="C159:C160"/>
    <mergeCell ref="C54:C55"/>
    <mergeCell ref="C165:C166"/>
    <mergeCell ref="C183:C184"/>
    <mergeCell ref="C153:C154"/>
    <mergeCell ref="B183:B188"/>
    <mergeCell ref="C177:C178"/>
    <mergeCell ref="C179:C180"/>
    <mergeCell ref="C187:C188"/>
    <mergeCell ref="C181:C182"/>
    <mergeCell ref="B165:B170"/>
    <mergeCell ref="C167:C168"/>
    <mergeCell ref="A82:A107"/>
    <mergeCell ref="C139:C140"/>
    <mergeCell ref="B143:B145"/>
    <mergeCell ref="C118:C119"/>
    <mergeCell ref="C120:C121"/>
    <mergeCell ref="C122:C123"/>
    <mergeCell ref="B102:B107"/>
    <mergeCell ref="C102:C103"/>
    <mergeCell ref="C104:C105"/>
    <mergeCell ref="B108:C108"/>
    <mergeCell ref="B81:C81"/>
    <mergeCell ref="B83:B88"/>
    <mergeCell ref="A59:A72"/>
    <mergeCell ref="B71:C72"/>
    <mergeCell ref="B65:C66"/>
    <mergeCell ref="B67:C68"/>
    <mergeCell ref="B69:C70"/>
    <mergeCell ref="A4:C4"/>
    <mergeCell ref="A7:C7"/>
    <mergeCell ref="B10:B12"/>
    <mergeCell ref="C50:C51"/>
    <mergeCell ref="B46:B51"/>
    <mergeCell ref="C42:C43"/>
    <mergeCell ref="C46:C47"/>
    <mergeCell ref="C48:C49"/>
    <mergeCell ref="B15:B20"/>
    <mergeCell ref="C15:C16"/>
    <mergeCell ref="C17:C18"/>
    <mergeCell ref="C31:C32"/>
    <mergeCell ref="B27:B32"/>
    <mergeCell ref="C27:C28"/>
    <mergeCell ref="C25:C26"/>
    <mergeCell ref="C23:C24"/>
    <mergeCell ref="A226:A235"/>
    <mergeCell ref="B230:C231"/>
    <mergeCell ref="B228:C229"/>
    <mergeCell ref="B226:C227"/>
    <mergeCell ref="B215:C216"/>
    <mergeCell ref="C206:C207"/>
    <mergeCell ref="A213:A218"/>
    <mergeCell ref="B217:C218"/>
    <mergeCell ref="B232:C233"/>
    <mergeCell ref="A222:A223"/>
    <mergeCell ref="B210:C211"/>
    <mergeCell ref="A196:A211"/>
    <mergeCell ref="B196:C197"/>
    <mergeCell ref="B202:B207"/>
    <mergeCell ref="B198:C199"/>
    <mergeCell ref="C204:C205"/>
    <mergeCell ref="C173:C174"/>
    <mergeCell ref="C175:C176"/>
    <mergeCell ref="C239:C240"/>
    <mergeCell ref="B222:B223"/>
    <mergeCell ref="C222:C223"/>
    <mergeCell ref="B213:C214"/>
    <mergeCell ref="B208:C209"/>
    <mergeCell ref="A74:A79"/>
    <mergeCell ref="C10:C12"/>
    <mergeCell ref="B76:C76"/>
    <mergeCell ref="B77:C77"/>
    <mergeCell ref="B78:C79"/>
    <mergeCell ref="C40:C41"/>
    <mergeCell ref="B59:C60"/>
    <mergeCell ref="C19:C20"/>
    <mergeCell ref="B61:C62"/>
    <mergeCell ref="A40:A57"/>
    <mergeCell ref="B40:B45"/>
    <mergeCell ref="C202:C203"/>
    <mergeCell ref="B200:C201"/>
    <mergeCell ref="B225:C225"/>
    <mergeCell ref="A15:A38"/>
    <mergeCell ref="B33:B38"/>
    <mergeCell ref="C33:C34"/>
    <mergeCell ref="C35:C36"/>
    <mergeCell ref="C37:C38"/>
    <mergeCell ref="C29:C30"/>
    <mergeCell ref="C21:C22"/>
    <mergeCell ref="B39:AH39"/>
    <mergeCell ref="B21:B26"/>
    <mergeCell ref="C52:C53"/>
    <mergeCell ref="B192:C193"/>
    <mergeCell ref="D122:D123"/>
    <mergeCell ref="D125:D126"/>
    <mergeCell ref="D127:D128"/>
    <mergeCell ref="D129:D130"/>
    <mergeCell ref="D131:D132"/>
    <mergeCell ref="D133:D134"/>
    <mergeCell ref="D135:D136"/>
    <mergeCell ref="B249:B254"/>
    <mergeCell ref="B110:C111"/>
    <mergeCell ref="C137:C138"/>
    <mergeCell ref="C89:C90"/>
    <mergeCell ref="C91:C92"/>
    <mergeCell ref="C125:C126"/>
    <mergeCell ref="C247:C248"/>
    <mergeCell ref="B234:C235"/>
    <mergeCell ref="C249:C250"/>
    <mergeCell ref="A190:A193"/>
    <mergeCell ref="C148:C149"/>
    <mergeCell ref="C150:C151"/>
    <mergeCell ref="C98:C99"/>
    <mergeCell ref="C100:C101"/>
    <mergeCell ref="C112:C113"/>
    <mergeCell ref="B125:B130"/>
    <mergeCell ref="C127:C128"/>
    <mergeCell ref="C114:C115"/>
    <mergeCell ref="C106:C107"/>
    <mergeCell ref="B95:C95"/>
    <mergeCell ref="B96:B101"/>
    <mergeCell ref="B89:B94"/>
    <mergeCell ref="B194:C194"/>
    <mergeCell ref="C171:C172"/>
    <mergeCell ref="B171:B176"/>
    <mergeCell ref="D190:D191"/>
    <mergeCell ref="D167:D168"/>
    <mergeCell ref="D169:D170"/>
    <mergeCell ref="D171:D172"/>
    <mergeCell ref="D173:D174"/>
    <mergeCell ref="D175:D176"/>
    <mergeCell ref="D177:D178"/>
    <mergeCell ref="A237:A254"/>
    <mergeCell ref="B237:B242"/>
    <mergeCell ref="C241:C242"/>
    <mergeCell ref="C243:C244"/>
    <mergeCell ref="C245:C246"/>
    <mergeCell ref="C253:C254"/>
    <mergeCell ref="C251:C252"/>
    <mergeCell ref="B243:B248"/>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X125:X126"/>
    <mergeCell ref="D251:D252"/>
    <mergeCell ref="D253:D254"/>
    <mergeCell ref="D192:D193"/>
    <mergeCell ref="D237:D238"/>
    <mergeCell ref="D239:D240"/>
    <mergeCell ref="D241:D242"/>
    <mergeCell ref="D243:D244"/>
    <mergeCell ref="D245:D246"/>
    <mergeCell ref="D196:D197"/>
    <mergeCell ref="D206:D207"/>
    <mergeCell ref="A5:B5"/>
    <mergeCell ref="A6:B6"/>
    <mergeCell ref="D198:D199"/>
    <mergeCell ref="D208:D209"/>
    <mergeCell ref="D247:D248"/>
    <mergeCell ref="D249:D250"/>
    <mergeCell ref="D179:D180"/>
    <mergeCell ref="D181:D182"/>
    <mergeCell ref="D183:D184"/>
    <mergeCell ref="D185:D186"/>
    <mergeCell ref="D146:D147"/>
    <mergeCell ref="D148:D149"/>
    <mergeCell ref="D150:D151"/>
    <mergeCell ref="D153:D154"/>
    <mergeCell ref="D155:D156"/>
    <mergeCell ref="D157:D158"/>
    <mergeCell ref="D159:D160"/>
    <mergeCell ref="D161:D162"/>
    <mergeCell ref="D163:D164"/>
    <mergeCell ref="D165:D166"/>
    <mergeCell ref="D187:D18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H125:H126"/>
    <mergeCell ref="I125:I126"/>
    <mergeCell ref="J125:J12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AA127:AA128"/>
    <mergeCell ref="AC127:AC128"/>
    <mergeCell ref="AD127:AD128"/>
    <mergeCell ref="AE127:AE128"/>
    <mergeCell ref="AF127:AF128"/>
    <mergeCell ref="AG127:AG128"/>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Y129:Y130"/>
    <mergeCell ref="Z129:Z130"/>
    <mergeCell ref="AA129:AA130"/>
    <mergeCell ref="AC129:AC130"/>
    <mergeCell ref="AD129:AD130"/>
    <mergeCell ref="AE129:AE130"/>
    <mergeCell ref="AF129:AF130"/>
    <mergeCell ref="AG129:AG130"/>
    <mergeCell ref="E127:E128"/>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AC137:AC138"/>
    <mergeCell ref="AD137:AD138"/>
    <mergeCell ref="AE137:AE138"/>
    <mergeCell ref="AF137:AF138"/>
    <mergeCell ref="AG137:AG138"/>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37:E138"/>
    <mergeCell ref="F137:F138"/>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AD146:AD147"/>
    <mergeCell ref="AE146:AE147"/>
    <mergeCell ref="AF146:AF147"/>
    <mergeCell ref="AG146:AG147"/>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AG148:AG149"/>
    <mergeCell ref="E146:E147"/>
    <mergeCell ref="F146:F147"/>
    <mergeCell ref="G146:G147"/>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Y150:Y151"/>
    <mergeCell ref="Z150:Z151"/>
    <mergeCell ref="AA150:AA151"/>
    <mergeCell ref="AC150:AC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AF46:AF47"/>
    <mergeCell ref="Y42:Y43"/>
    <mergeCell ref="Z42:Z43"/>
    <mergeCell ref="AC42:AC43"/>
    <mergeCell ref="AD42:AD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W48:W49"/>
    <mergeCell ref="X48:X49"/>
    <mergeCell ref="Y48:Y49"/>
    <mergeCell ref="Z48:Z49"/>
    <mergeCell ref="AC48:AC49"/>
    <mergeCell ref="AD48:AD49"/>
    <mergeCell ref="AE48:AE49"/>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AD46:AD47"/>
    <mergeCell ref="AE46:AE47"/>
    <mergeCell ref="AF48:AF49"/>
    <mergeCell ref="E50:E51"/>
    <mergeCell ref="F50:F51"/>
    <mergeCell ref="G50:G51"/>
    <mergeCell ref="H50:H51"/>
    <mergeCell ref="K50:K51"/>
    <mergeCell ref="L50:L51"/>
    <mergeCell ref="M50:M51"/>
    <mergeCell ref="N50:N51"/>
    <mergeCell ref="Q50:Q51"/>
    <mergeCell ref="R50:R51"/>
    <mergeCell ref="S50:S51"/>
    <mergeCell ref="T50:T51"/>
    <mergeCell ref="W50:W51"/>
    <mergeCell ref="X50:X51"/>
    <mergeCell ref="Y50:Y51"/>
    <mergeCell ref="Z50:Z51"/>
    <mergeCell ref="AC50:AC51"/>
    <mergeCell ref="AB50:AB51"/>
    <mergeCell ref="AD50:AD51"/>
    <mergeCell ref="AE50:AE51"/>
    <mergeCell ref="AF50:AF51"/>
    <mergeCell ref="E48:E49"/>
    <mergeCell ref="F48:F49"/>
    <mergeCell ref="G48:G49"/>
    <mergeCell ref="H48:H49"/>
    <mergeCell ref="K48:K49"/>
    <mergeCell ref="L48:L49"/>
    <mergeCell ref="M48:M49"/>
    <mergeCell ref="R48:R49"/>
    <mergeCell ref="S48:S49"/>
    <mergeCell ref="T48:T49"/>
    <mergeCell ref="N54:N55"/>
    <mergeCell ref="Q54:Q55"/>
    <mergeCell ref="R54:R55"/>
    <mergeCell ref="S54:S55"/>
    <mergeCell ref="T54:T55"/>
    <mergeCell ref="W54:W55"/>
    <mergeCell ref="X54:X55"/>
    <mergeCell ref="Y54:Y55"/>
    <mergeCell ref="Z54:Z55"/>
    <mergeCell ref="AC54:AC55"/>
    <mergeCell ref="AD54:AD55"/>
    <mergeCell ref="AE54:AE55"/>
    <mergeCell ref="AF54:AF55"/>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F15:AF16"/>
    <mergeCell ref="AB15:AB16"/>
    <mergeCell ref="E17:E18"/>
    <mergeCell ref="F17:F18"/>
    <mergeCell ref="G17:G18"/>
    <mergeCell ref="H17:H18"/>
    <mergeCell ref="K17:K18"/>
    <mergeCell ref="L17:L18"/>
    <mergeCell ref="M17:M18"/>
    <mergeCell ref="N17:N18"/>
    <mergeCell ref="Q17:Q18"/>
    <mergeCell ref="R17:R18"/>
    <mergeCell ref="E56:E57"/>
    <mergeCell ref="F56:F57"/>
    <mergeCell ref="G56:G57"/>
    <mergeCell ref="H56:H57"/>
    <mergeCell ref="K56:K57"/>
    <mergeCell ref="L56:L57"/>
    <mergeCell ref="M56:M57"/>
    <mergeCell ref="N56:N57"/>
    <mergeCell ref="Q56:Q57"/>
    <mergeCell ref="R56:R57"/>
    <mergeCell ref="S56:S57"/>
    <mergeCell ref="T56:T57"/>
    <mergeCell ref="W56:W57"/>
    <mergeCell ref="X56:X57"/>
    <mergeCell ref="Y56:Y57"/>
    <mergeCell ref="Z56:Z57"/>
    <mergeCell ref="AC56:AC57"/>
    <mergeCell ref="AE52:AE53"/>
    <mergeCell ref="AF52:AF53"/>
    <mergeCell ref="E54:E55"/>
    <mergeCell ref="E15:E16"/>
    <mergeCell ref="F15:F16"/>
    <mergeCell ref="G15:G16"/>
    <mergeCell ref="H15:H16"/>
    <mergeCell ref="K15:K16"/>
    <mergeCell ref="L15:L16"/>
    <mergeCell ref="M15:M16"/>
    <mergeCell ref="T15:T16"/>
    <mergeCell ref="U15:U16"/>
    <mergeCell ref="W15:W16"/>
    <mergeCell ref="X15:X16"/>
    <mergeCell ref="Y15:Y16"/>
    <mergeCell ref="Z15:Z16"/>
    <mergeCell ref="AA15:AA16"/>
    <mergeCell ref="AC15:AC16"/>
    <mergeCell ref="AD15:AD16"/>
    <mergeCell ref="AE15:AE16"/>
    <mergeCell ref="AA19:AA20"/>
    <mergeCell ref="AC19:AC20"/>
    <mergeCell ref="AD19:AD20"/>
    <mergeCell ref="AE19:AE20"/>
    <mergeCell ref="AB19:AB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Y23:Y24"/>
    <mergeCell ref="Z23:Z24"/>
    <mergeCell ref="AA23:AA24"/>
    <mergeCell ref="AC23:AC24"/>
    <mergeCell ref="AD23:AD24"/>
    <mergeCell ref="AE23:AE24"/>
    <mergeCell ref="AF23:AF24"/>
    <mergeCell ref="AG23:AG24"/>
    <mergeCell ref="AB23:AB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E27:E28"/>
    <mergeCell ref="F27:F28"/>
    <mergeCell ref="G27:G28"/>
    <mergeCell ref="H27:H28"/>
    <mergeCell ref="K27:K28"/>
    <mergeCell ref="Q27:Q28"/>
    <mergeCell ref="R27:R28"/>
    <mergeCell ref="S27:S28"/>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E27:AE28"/>
    <mergeCell ref="AF27:AF28"/>
    <mergeCell ref="T27:T28"/>
    <mergeCell ref="U27:U28"/>
    <mergeCell ref="W27:W28"/>
    <mergeCell ref="X27:X28"/>
    <mergeCell ref="Y27:Y28"/>
    <mergeCell ref="Z27:Z28"/>
    <mergeCell ref="AA27:AA28"/>
    <mergeCell ref="AC27:AC28"/>
    <mergeCell ref="AD27:AD28"/>
    <mergeCell ref="AB27:AB28"/>
    <mergeCell ref="M27:M28"/>
    <mergeCell ref="N27:N28"/>
    <mergeCell ref="AB31:AB32"/>
    <mergeCell ref="I31:I32"/>
    <mergeCell ref="J31:J32"/>
    <mergeCell ref="AA31:AA32"/>
    <mergeCell ref="V31:V32"/>
    <mergeCell ref="AC31:AC32"/>
    <mergeCell ref="AD31:AD32"/>
    <mergeCell ref="AE31:AE32"/>
    <mergeCell ref="AF31:AF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E31:E32"/>
    <mergeCell ref="F31:F32"/>
    <mergeCell ref="E35:E36"/>
    <mergeCell ref="F35:F36"/>
    <mergeCell ref="G35:G36"/>
    <mergeCell ref="H35:H36"/>
    <mergeCell ref="K35:K36"/>
    <mergeCell ref="L35:L36"/>
    <mergeCell ref="I35:I36"/>
    <mergeCell ref="J35:J36"/>
    <mergeCell ref="M35:M36"/>
    <mergeCell ref="N35:N36"/>
    <mergeCell ref="Q35:Q36"/>
    <mergeCell ref="R35:R36"/>
    <mergeCell ref="S35:S36"/>
    <mergeCell ref="T35:T36"/>
    <mergeCell ref="O35:O36"/>
    <mergeCell ref="P35:P36"/>
    <mergeCell ref="U35:U36"/>
    <mergeCell ref="W35:W36"/>
    <mergeCell ref="X35:X36"/>
    <mergeCell ref="Y35:Y36"/>
    <mergeCell ref="Z35:Z36"/>
    <mergeCell ref="AA35:AA36"/>
    <mergeCell ref="V35:V36"/>
    <mergeCell ref="AC35:AC36"/>
    <mergeCell ref="AD35:AD36"/>
    <mergeCell ref="AE35:AE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AD56:AD57"/>
    <mergeCell ref="AE56:AE57"/>
    <mergeCell ref="AF56:AF57"/>
    <mergeCell ref="F54:F55"/>
    <mergeCell ref="G54:G55"/>
    <mergeCell ref="H54:H55"/>
    <mergeCell ref="K54:K55"/>
    <mergeCell ref="L54:L55"/>
    <mergeCell ref="M54:M55"/>
    <mergeCell ref="T61:T62"/>
    <mergeCell ref="W61:W62"/>
    <mergeCell ref="X61:X62"/>
    <mergeCell ref="Y61:Y62"/>
    <mergeCell ref="Z61:Z62"/>
    <mergeCell ref="AC61:AC62"/>
    <mergeCell ref="V61:V62"/>
    <mergeCell ref="AB61:AB62"/>
    <mergeCell ref="AD61:AD62"/>
    <mergeCell ref="AE61:AE62"/>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Q65:Q66"/>
    <mergeCell ref="X65:X66"/>
    <mergeCell ref="Y65:Y66"/>
    <mergeCell ref="Z65:Z66"/>
    <mergeCell ref="AC65:AC66"/>
    <mergeCell ref="AD65:AD66"/>
    <mergeCell ref="AE65:AE66"/>
    <mergeCell ref="AF65:AF66"/>
    <mergeCell ref="E67:E68"/>
    <mergeCell ref="F67:F68"/>
    <mergeCell ref="G67:G68"/>
    <mergeCell ref="H67:H68"/>
    <mergeCell ref="K67:K68"/>
    <mergeCell ref="L67:L68"/>
    <mergeCell ref="M67:M68"/>
    <mergeCell ref="N67:N68"/>
    <mergeCell ref="Q67:Q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Q71:Q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P85:P86"/>
    <mergeCell ref="V85:V86"/>
    <mergeCell ref="AB85:AB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Q93:Q94"/>
    <mergeCell ref="R93:R94"/>
    <mergeCell ref="S93:S94"/>
    <mergeCell ref="T93:T94"/>
    <mergeCell ref="W93:W94"/>
    <mergeCell ref="X93:X94"/>
    <mergeCell ref="Y93:Y94"/>
    <mergeCell ref="Z93:Z94"/>
    <mergeCell ref="AC93:AC94"/>
    <mergeCell ref="W89:W90"/>
    <mergeCell ref="X89:X90"/>
    <mergeCell ref="Y89:Y90"/>
    <mergeCell ref="Z89:Z90"/>
    <mergeCell ref="AC89:AC90"/>
    <mergeCell ref="AD89:AD90"/>
    <mergeCell ref="AE89:AE90"/>
    <mergeCell ref="AF89:AF90"/>
    <mergeCell ref="AD91:AD92"/>
    <mergeCell ref="AE91:AE92"/>
    <mergeCell ref="AF91:AF92"/>
    <mergeCell ref="AC100:AC101"/>
    <mergeCell ref="AD100:AD101"/>
    <mergeCell ref="AE100:AE101"/>
    <mergeCell ref="AF100:AF101"/>
    <mergeCell ref="AD93:AD94"/>
    <mergeCell ref="AE93:AE94"/>
    <mergeCell ref="AF93:AF94"/>
    <mergeCell ref="E96:E97"/>
    <mergeCell ref="F96:F97"/>
    <mergeCell ref="G96:G97"/>
    <mergeCell ref="H96:H97"/>
    <mergeCell ref="K96:K97"/>
    <mergeCell ref="Q96:Q97"/>
    <mergeCell ref="R96:R97"/>
    <mergeCell ref="S96:S97"/>
    <mergeCell ref="T96:T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M93:M94"/>
    <mergeCell ref="N93:N94"/>
    <mergeCell ref="R102:R103"/>
    <mergeCell ref="S102:S103"/>
    <mergeCell ref="T102:T103"/>
    <mergeCell ref="W102:W103"/>
    <mergeCell ref="X102:X103"/>
    <mergeCell ref="Y102:Y103"/>
    <mergeCell ref="Z102:Z103"/>
    <mergeCell ref="AC102:AC103"/>
    <mergeCell ref="W98:W99"/>
    <mergeCell ref="X98:X99"/>
    <mergeCell ref="Y98:Y99"/>
    <mergeCell ref="Z98:Z99"/>
    <mergeCell ref="AC98:AC99"/>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D102:AD103"/>
    <mergeCell ref="AE102:AE103"/>
    <mergeCell ref="AF102:AF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N102:N103"/>
    <mergeCell ref="Q102:Q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P110:P111"/>
    <mergeCell ref="V110:V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P118:P119"/>
    <mergeCell ref="V118:V119"/>
    <mergeCell ref="AB118:AB119"/>
    <mergeCell ref="N122:N123"/>
    <mergeCell ref="Q122:Q123"/>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2:AD123"/>
    <mergeCell ref="AE122:AE123"/>
    <mergeCell ref="AF122:AF123"/>
    <mergeCell ref="E153:E154"/>
    <mergeCell ref="F153:F154"/>
    <mergeCell ref="G153:G154"/>
    <mergeCell ref="H153:H154"/>
    <mergeCell ref="K153:K154"/>
    <mergeCell ref="L153:L154"/>
    <mergeCell ref="J153:J154"/>
    <mergeCell ref="M153:M154"/>
    <mergeCell ref="N153:N154"/>
    <mergeCell ref="Q153:Q154"/>
    <mergeCell ref="R153:R154"/>
    <mergeCell ref="S153:S154"/>
    <mergeCell ref="T153:T154"/>
    <mergeCell ref="P153:P154"/>
    <mergeCell ref="W153:W154"/>
    <mergeCell ref="X153:X154"/>
    <mergeCell ref="Y153:Y154"/>
    <mergeCell ref="Z153:Z154"/>
    <mergeCell ref="AC153:AC154"/>
    <mergeCell ref="AD153:AD154"/>
    <mergeCell ref="AE153:AE154"/>
    <mergeCell ref="AF153:AF154"/>
    <mergeCell ref="E122:E123"/>
    <mergeCell ref="F122:F123"/>
    <mergeCell ref="G122:G123"/>
    <mergeCell ref="H122:H123"/>
    <mergeCell ref="K122:K123"/>
    <mergeCell ref="L122:L123"/>
    <mergeCell ref="M122:M123"/>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J157:J158"/>
    <mergeCell ref="M157:M158"/>
    <mergeCell ref="N157:N158"/>
    <mergeCell ref="Q157:Q158"/>
    <mergeCell ref="R157:R158"/>
    <mergeCell ref="S157:S158"/>
    <mergeCell ref="T157:T158"/>
    <mergeCell ref="P157:P158"/>
    <mergeCell ref="W157:W158"/>
    <mergeCell ref="X157:X158"/>
    <mergeCell ref="Y157:Y158"/>
    <mergeCell ref="AD161:AD162"/>
    <mergeCell ref="AE161:AE162"/>
    <mergeCell ref="AF161:AF162"/>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V161:V162"/>
    <mergeCell ref="AB161:AB162"/>
    <mergeCell ref="N163:N164"/>
    <mergeCell ref="Q163:Q164"/>
    <mergeCell ref="R163:R164"/>
    <mergeCell ref="S163:S164"/>
    <mergeCell ref="T163:T164"/>
    <mergeCell ref="W163:W164"/>
    <mergeCell ref="X163:X164"/>
    <mergeCell ref="Y163:Y164"/>
    <mergeCell ref="Z163:Z164"/>
    <mergeCell ref="AC163:AC164"/>
    <mergeCell ref="AD159:AD160"/>
    <mergeCell ref="AE159:AE160"/>
    <mergeCell ref="AF159:AF160"/>
    <mergeCell ref="E161:E162"/>
    <mergeCell ref="F161:F162"/>
    <mergeCell ref="G161:G162"/>
    <mergeCell ref="H161:H162"/>
    <mergeCell ref="K161:K162"/>
    <mergeCell ref="L161:L162"/>
    <mergeCell ref="J161:J162"/>
    <mergeCell ref="M161:M162"/>
    <mergeCell ref="N161:N162"/>
    <mergeCell ref="Q161:Q162"/>
    <mergeCell ref="R161:R162"/>
    <mergeCell ref="S161:S162"/>
    <mergeCell ref="T161:T162"/>
    <mergeCell ref="P161:P162"/>
    <mergeCell ref="W161:W162"/>
    <mergeCell ref="X161:X162"/>
    <mergeCell ref="Y161:Y162"/>
    <mergeCell ref="Z161:Z162"/>
    <mergeCell ref="AC161:AC162"/>
    <mergeCell ref="AD163:AD164"/>
    <mergeCell ref="AE163:AE164"/>
    <mergeCell ref="AF163:AF164"/>
    <mergeCell ref="E165:E166"/>
    <mergeCell ref="F165:F166"/>
    <mergeCell ref="G165:G166"/>
    <mergeCell ref="H165:H166"/>
    <mergeCell ref="K165:K166"/>
    <mergeCell ref="L165:L166"/>
    <mergeCell ref="J165:J166"/>
    <mergeCell ref="M165:M166"/>
    <mergeCell ref="N165:N166"/>
    <mergeCell ref="Q165:Q166"/>
    <mergeCell ref="R165:R166"/>
    <mergeCell ref="S165:S166"/>
    <mergeCell ref="T165:T166"/>
    <mergeCell ref="P165:P166"/>
    <mergeCell ref="W165:W166"/>
    <mergeCell ref="X165:X166"/>
    <mergeCell ref="Y165:Y166"/>
    <mergeCell ref="Z165:Z166"/>
    <mergeCell ref="AC165:AC166"/>
    <mergeCell ref="AD165:AD166"/>
    <mergeCell ref="AE165:AE166"/>
    <mergeCell ref="AF165:AF166"/>
    <mergeCell ref="E163:E164"/>
    <mergeCell ref="F163:F164"/>
    <mergeCell ref="G163:G164"/>
    <mergeCell ref="H163:H164"/>
    <mergeCell ref="K163:K164"/>
    <mergeCell ref="L163:L164"/>
    <mergeCell ref="M163:M164"/>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J169:J170"/>
    <mergeCell ref="M169:M170"/>
    <mergeCell ref="N169:N170"/>
    <mergeCell ref="Q169:Q170"/>
    <mergeCell ref="R169:R170"/>
    <mergeCell ref="S169:S170"/>
    <mergeCell ref="T169:T170"/>
    <mergeCell ref="P169:P170"/>
    <mergeCell ref="W169:W170"/>
    <mergeCell ref="X169:X170"/>
    <mergeCell ref="Y169:Y170"/>
    <mergeCell ref="AD173:AD174"/>
    <mergeCell ref="AE173:AE174"/>
    <mergeCell ref="AF173:AF174"/>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V173:V174"/>
    <mergeCell ref="AB173:AB174"/>
    <mergeCell ref="N175:N176"/>
    <mergeCell ref="Q175:Q176"/>
    <mergeCell ref="R175:R176"/>
    <mergeCell ref="S175:S176"/>
    <mergeCell ref="T175:T176"/>
    <mergeCell ref="W175:W176"/>
    <mergeCell ref="X175:X176"/>
    <mergeCell ref="Y175:Y176"/>
    <mergeCell ref="Z175:Z176"/>
    <mergeCell ref="AC175:AC176"/>
    <mergeCell ref="AD171:AD172"/>
    <mergeCell ref="AE171:AE172"/>
    <mergeCell ref="AF171:AF172"/>
    <mergeCell ref="E173:E174"/>
    <mergeCell ref="F173:F174"/>
    <mergeCell ref="G173:G174"/>
    <mergeCell ref="H173:H174"/>
    <mergeCell ref="K173:K174"/>
    <mergeCell ref="L173:L174"/>
    <mergeCell ref="J173:J174"/>
    <mergeCell ref="M173:M174"/>
    <mergeCell ref="N173:N174"/>
    <mergeCell ref="Q173:Q174"/>
    <mergeCell ref="R173:R174"/>
    <mergeCell ref="S173:S174"/>
    <mergeCell ref="T173:T174"/>
    <mergeCell ref="P173:P174"/>
    <mergeCell ref="W173:W174"/>
    <mergeCell ref="X173:X174"/>
    <mergeCell ref="Y173:Y174"/>
    <mergeCell ref="Z173:Z174"/>
    <mergeCell ref="AC173:AC174"/>
    <mergeCell ref="AD175:AD176"/>
    <mergeCell ref="AE175:AE176"/>
    <mergeCell ref="AF175:AF176"/>
    <mergeCell ref="E177:E178"/>
    <mergeCell ref="F177:F178"/>
    <mergeCell ref="G177:G178"/>
    <mergeCell ref="H177:H178"/>
    <mergeCell ref="K177:K178"/>
    <mergeCell ref="L177:L178"/>
    <mergeCell ref="J177:J178"/>
    <mergeCell ref="M177:M178"/>
    <mergeCell ref="N177:N178"/>
    <mergeCell ref="Q177:Q178"/>
    <mergeCell ref="R177:R178"/>
    <mergeCell ref="S177:S178"/>
    <mergeCell ref="T177:T178"/>
    <mergeCell ref="P177:P178"/>
    <mergeCell ref="W177:W178"/>
    <mergeCell ref="X177:X178"/>
    <mergeCell ref="Y177:Y178"/>
    <mergeCell ref="Z177:Z178"/>
    <mergeCell ref="AC177:AC178"/>
    <mergeCell ref="AD177:AD178"/>
    <mergeCell ref="AE177:AE178"/>
    <mergeCell ref="AF177:AF178"/>
    <mergeCell ref="E175:E176"/>
    <mergeCell ref="F175:F176"/>
    <mergeCell ref="G175:G176"/>
    <mergeCell ref="H175:H176"/>
    <mergeCell ref="K175:K176"/>
    <mergeCell ref="L175:L176"/>
    <mergeCell ref="M175:M176"/>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J181:J182"/>
    <mergeCell ref="M181:M182"/>
    <mergeCell ref="N181:N182"/>
    <mergeCell ref="Q181:Q182"/>
    <mergeCell ref="R181:R182"/>
    <mergeCell ref="S181:S182"/>
    <mergeCell ref="T181:T182"/>
    <mergeCell ref="P181:P182"/>
    <mergeCell ref="W181:W182"/>
    <mergeCell ref="X181:X182"/>
    <mergeCell ref="Y181:Y182"/>
    <mergeCell ref="AD185:AD186"/>
    <mergeCell ref="AE185:AE186"/>
    <mergeCell ref="AF185:AF186"/>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V185:V186"/>
    <mergeCell ref="AB185:AB186"/>
    <mergeCell ref="N187:N188"/>
    <mergeCell ref="Q187:Q188"/>
    <mergeCell ref="R187:R188"/>
    <mergeCell ref="S187:S188"/>
    <mergeCell ref="T187:T188"/>
    <mergeCell ref="W187:W188"/>
    <mergeCell ref="X187:X188"/>
    <mergeCell ref="Y187:Y188"/>
    <mergeCell ref="Z187:Z188"/>
    <mergeCell ref="AC187:AC188"/>
    <mergeCell ref="AD183:AD184"/>
    <mergeCell ref="AE183:AE184"/>
    <mergeCell ref="AF183:AF184"/>
    <mergeCell ref="E185:E186"/>
    <mergeCell ref="F185:F186"/>
    <mergeCell ref="G185:G186"/>
    <mergeCell ref="H185:H186"/>
    <mergeCell ref="K185:K186"/>
    <mergeCell ref="L185:L186"/>
    <mergeCell ref="J185:J186"/>
    <mergeCell ref="M185:M186"/>
    <mergeCell ref="N185:N186"/>
    <mergeCell ref="Q185:Q186"/>
    <mergeCell ref="R185:R186"/>
    <mergeCell ref="S185:S186"/>
    <mergeCell ref="T185:T186"/>
    <mergeCell ref="P185:P186"/>
    <mergeCell ref="W185:W186"/>
    <mergeCell ref="X185:X186"/>
    <mergeCell ref="Y185:Y186"/>
    <mergeCell ref="Z185:Z186"/>
    <mergeCell ref="AC185:AC186"/>
    <mergeCell ref="AD187:AD188"/>
    <mergeCell ref="AE187:AE188"/>
    <mergeCell ref="AF187:AF188"/>
    <mergeCell ref="E190:E191"/>
    <mergeCell ref="F190:F191"/>
    <mergeCell ref="G190:G191"/>
    <mergeCell ref="H190:H191"/>
    <mergeCell ref="K190:K191"/>
    <mergeCell ref="L190:L191"/>
    <mergeCell ref="J190:J191"/>
    <mergeCell ref="M190:M191"/>
    <mergeCell ref="N190:N191"/>
    <mergeCell ref="Q190:Q191"/>
    <mergeCell ref="R190:R191"/>
    <mergeCell ref="S190:S191"/>
    <mergeCell ref="T190:T191"/>
    <mergeCell ref="P190:P191"/>
    <mergeCell ref="W190:W191"/>
    <mergeCell ref="X190:X191"/>
    <mergeCell ref="Y190:Y191"/>
    <mergeCell ref="Z190:Z191"/>
    <mergeCell ref="AC190:AC191"/>
    <mergeCell ref="AD190:AD191"/>
    <mergeCell ref="AE190:AE191"/>
    <mergeCell ref="AF190:AF191"/>
    <mergeCell ref="E187:E188"/>
    <mergeCell ref="F187:F188"/>
    <mergeCell ref="G187:G188"/>
    <mergeCell ref="H187:H188"/>
    <mergeCell ref="K187:K188"/>
    <mergeCell ref="L187:L188"/>
    <mergeCell ref="M187:M188"/>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T243:T244"/>
    <mergeCell ref="W243:W244"/>
    <mergeCell ref="X243:X244"/>
    <mergeCell ref="Y243:Y244"/>
    <mergeCell ref="Z243:Z244"/>
    <mergeCell ref="AC243:AC244"/>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AF243:AF244"/>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AD245:AD246"/>
    <mergeCell ref="AE245:AE246"/>
    <mergeCell ref="AF245:AF246"/>
    <mergeCell ref="E243:E244"/>
    <mergeCell ref="F243:F244"/>
    <mergeCell ref="G243:G244"/>
    <mergeCell ref="H243:H244"/>
    <mergeCell ref="K243:K244"/>
    <mergeCell ref="L243:L244"/>
    <mergeCell ref="M243:M244"/>
    <mergeCell ref="N243:N244"/>
    <mergeCell ref="Q243:Q244"/>
    <mergeCell ref="R243:R244"/>
    <mergeCell ref="S243:S244"/>
    <mergeCell ref="AF249:AF250"/>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N251:N252"/>
    <mergeCell ref="Q251:Q252"/>
    <mergeCell ref="R251:R252"/>
    <mergeCell ref="S251:S252"/>
    <mergeCell ref="T251:T252"/>
    <mergeCell ref="W251:W252"/>
    <mergeCell ref="X251:X252"/>
    <mergeCell ref="Y251:Y252"/>
    <mergeCell ref="Z251:Z252"/>
    <mergeCell ref="AC251:AC252"/>
    <mergeCell ref="AD247:AD248"/>
    <mergeCell ref="AE247:AE248"/>
    <mergeCell ref="AF247:AF248"/>
    <mergeCell ref="E249:E250"/>
    <mergeCell ref="F249:F250"/>
    <mergeCell ref="G249:G250"/>
    <mergeCell ref="H249:H250"/>
    <mergeCell ref="K249:K250"/>
    <mergeCell ref="L249:L250"/>
    <mergeCell ref="M249:M250"/>
    <mergeCell ref="N249:N250"/>
    <mergeCell ref="Q249:Q250"/>
    <mergeCell ref="R249:R250"/>
    <mergeCell ref="S249:S250"/>
    <mergeCell ref="T249:T250"/>
    <mergeCell ref="W249:W250"/>
    <mergeCell ref="X249:X250"/>
    <mergeCell ref="Y249:Y250"/>
    <mergeCell ref="Z249:Z250"/>
    <mergeCell ref="AC249:AC250"/>
    <mergeCell ref="AD249:AD250"/>
    <mergeCell ref="AE249:AE250"/>
    <mergeCell ref="AD251:AD252"/>
    <mergeCell ref="AE251:AE252"/>
    <mergeCell ref="AF251:AF252"/>
    <mergeCell ref="E253:E254"/>
    <mergeCell ref="F253:F254"/>
    <mergeCell ref="G253:G254"/>
    <mergeCell ref="H253:H254"/>
    <mergeCell ref="K253:K254"/>
    <mergeCell ref="L253:L254"/>
    <mergeCell ref="J253:J254"/>
    <mergeCell ref="M253:M254"/>
    <mergeCell ref="N253:N254"/>
    <mergeCell ref="Q253:Q254"/>
    <mergeCell ref="R253:R254"/>
    <mergeCell ref="S253:S254"/>
    <mergeCell ref="T253:T254"/>
    <mergeCell ref="P253:P254"/>
    <mergeCell ref="W253:W254"/>
    <mergeCell ref="X253:X254"/>
    <mergeCell ref="Y253:Y254"/>
    <mergeCell ref="Z253:Z254"/>
    <mergeCell ref="AC253:AC254"/>
    <mergeCell ref="AD253:AD254"/>
    <mergeCell ref="AE253:AE254"/>
    <mergeCell ref="AF253:AF254"/>
    <mergeCell ref="E251:E252"/>
    <mergeCell ref="F251:F252"/>
    <mergeCell ref="G251:G252"/>
    <mergeCell ref="H251:H252"/>
    <mergeCell ref="K251:K252"/>
    <mergeCell ref="L251:L252"/>
    <mergeCell ref="M251:M252"/>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H204:H205"/>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N213:N214"/>
    <mergeCell ref="K215:K216"/>
    <mergeCell ref="L215:L216"/>
    <mergeCell ref="M215:M216"/>
    <mergeCell ref="N215:N216"/>
    <mergeCell ref="K217:K218"/>
    <mergeCell ref="L217:L218"/>
    <mergeCell ref="M217:M218"/>
    <mergeCell ref="N217:N218"/>
    <mergeCell ref="S213:S214"/>
    <mergeCell ref="T213:T214"/>
    <mergeCell ref="Q215:Q216"/>
    <mergeCell ref="R215:R216"/>
    <mergeCell ref="S215:S216"/>
    <mergeCell ref="T215:T216"/>
    <mergeCell ref="Q217:Q218"/>
    <mergeCell ref="R217:R218"/>
    <mergeCell ref="S217:S218"/>
    <mergeCell ref="T217:T218"/>
    <mergeCell ref="W213:W214"/>
    <mergeCell ref="X213:X214"/>
    <mergeCell ref="W217:W218"/>
    <mergeCell ref="X217:X218"/>
    <mergeCell ref="Q213:Q214"/>
    <mergeCell ref="Y217:Y218"/>
    <mergeCell ref="Z217:Z218"/>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E213:E214"/>
    <mergeCell ref="F213:F214"/>
    <mergeCell ref="G213:G214"/>
    <mergeCell ref="H213:H214"/>
    <mergeCell ref="E215:E216"/>
    <mergeCell ref="F215:F216"/>
    <mergeCell ref="G215:G216"/>
    <mergeCell ref="H215:H216"/>
    <mergeCell ref="E217:E218"/>
    <mergeCell ref="F217:F218"/>
    <mergeCell ref="G217:G218"/>
    <mergeCell ref="H217:H218"/>
    <mergeCell ref="J217:J218"/>
    <mergeCell ref="P217:P218"/>
    <mergeCell ref="V217:V218"/>
    <mergeCell ref="AB217:AB218"/>
  </mergeCells>
  <pageMargins left="0.43" right="0.4" top="0.33" bottom="0.26" header="0.21" footer="0.17"/>
  <pageSetup paperSize="9" scale="87"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818D9-6916-4864-866C-DC75C4CBCA01}">
  <sheetPr>
    <pageSetUpPr fitToPage="1"/>
  </sheetPr>
  <dimension ref="A1:AH256"/>
  <sheetViews>
    <sheetView zoomScaleNormal="100" workbookViewId="0">
      <pane ySplit="12" topLeftCell="A114" activePane="bottomLeft" state="frozen"/>
      <selection activeCell="B67" sqref="B67:C68"/>
      <selection pane="bottomLeft" activeCell="AC235" sqref="AC235:AF235"/>
    </sheetView>
  </sheetViews>
  <sheetFormatPr defaultColWidth="9.109375" defaultRowHeight="10.199999999999999" x14ac:dyDescent="0.2"/>
  <cols>
    <col min="1" max="1" width="6" style="11" customWidth="1"/>
    <col min="2" max="2" width="35.77734375" style="31" customWidth="1"/>
    <col min="3" max="3" width="5.33203125" style="11" customWidth="1"/>
    <col min="4" max="4" width="4.88671875" style="11" customWidth="1"/>
    <col min="5" max="34" width="4.77734375" style="11" customWidth="1"/>
    <col min="35" max="16384" width="9.109375" style="11"/>
  </cols>
  <sheetData>
    <row r="1" spans="1:34" x14ac:dyDescent="0.2">
      <c r="A1" s="9"/>
      <c r="B1" s="10"/>
      <c r="C1" s="9"/>
      <c r="D1" s="9"/>
    </row>
    <row r="2" spans="1:34" x14ac:dyDescent="0.2">
      <c r="A2" s="297" t="s">
        <v>51</v>
      </c>
      <c r="B2" s="297"/>
      <c r="C2" s="297"/>
      <c r="D2" s="326"/>
      <c r="E2" s="326"/>
      <c r="F2" s="326"/>
      <c r="G2" s="326"/>
      <c r="H2" s="326"/>
      <c r="I2" s="326"/>
      <c r="J2" s="326"/>
      <c r="K2" s="326"/>
      <c r="L2" s="326"/>
      <c r="M2" s="326"/>
      <c r="N2" s="326"/>
      <c r="O2" s="215"/>
    </row>
    <row r="3" spans="1:34" x14ac:dyDescent="0.2">
      <c r="A3" s="297" t="s">
        <v>50</v>
      </c>
      <c r="B3" s="297"/>
      <c r="C3" s="297"/>
      <c r="D3" s="326"/>
      <c r="E3" s="326"/>
      <c r="F3" s="326"/>
      <c r="G3" s="326"/>
      <c r="H3" s="326"/>
      <c r="I3" s="326"/>
      <c r="J3" s="326"/>
      <c r="K3" s="326"/>
      <c r="L3" s="326"/>
      <c r="N3" s="546"/>
      <c r="O3" s="547"/>
    </row>
    <row r="4" spans="1:34" x14ac:dyDescent="0.2">
      <c r="A4" s="297" t="s">
        <v>69</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172</v>
      </c>
      <c r="B8" s="268"/>
      <c r="C8" s="268"/>
      <c r="D8" s="326"/>
      <c r="E8" s="326"/>
      <c r="F8" s="326"/>
      <c r="G8" s="326"/>
      <c r="H8" s="326"/>
      <c r="I8" s="326"/>
      <c r="J8" s="326"/>
      <c r="K8" s="326"/>
      <c r="L8" s="326"/>
      <c r="M8" s="326"/>
      <c r="N8" s="326"/>
      <c r="O8" s="326"/>
      <c r="P8" s="326"/>
      <c r="Q8" s="326"/>
      <c r="R8" s="326"/>
    </row>
    <row r="9" spans="1:34" x14ac:dyDescent="0.2">
      <c r="A9" s="9"/>
      <c r="B9" s="10"/>
      <c r="C9" s="9"/>
      <c r="D9" s="9"/>
    </row>
    <row r="10" spans="1:34" x14ac:dyDescent="0.2">
      <c r="A10" s="17"/>
      <c r="B10" s="293"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293"/>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293"/>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18">
        <v>1</v>
      </c>
      <c r="C13" s="22">
        <v>2</v>
      </c>
      <c r="D13" s="22">
        <v>3</v>
      </c>
      <c r="E13" s="22" t="s">
        <v>113</v>
      </c>
      <c r="F13" s="22" t="s">
        <v>114</v>
      </c>
      <c r="G13" s="22" t="s">
        <v>115</v>
      </c>
      <c r="H13" s="22" t="s">
        <v>116</v>
      </c>
      <c r="I13" s="22">
        <v>2026</v>
      </c>
      <c r="J13" s="22"/>
      <c r="K13" s="22" t="s">
        <v>106</v>
      </c>
      <c r="L13" s="22" t="s">
        <v>107</v>
      </c>
      <c r="M13" s="22" t="s">
        <v>108</v>
      </c>
      <c r="N13" s="22" t="s">
        <v>109</v>
      </c>
      <c r="O13" s="22">
        <v>2027</v>
      </c>
      <c r="P13" s="22"/>
      <c r="Q13" s="22" t="s">
        <v>106</v>
      </c>
      <c r="R13" s="22" t="s">
        <v>107</v>
      </c>
      <c r="S13" s="22" t="s">
        <v>108</v>
      </c>
      <c r="T13" s="22" t="s">
        <v>109</v>
      </c>
      <c r="U13" s="22"/>
      <c r="V13" s="22"/>
      <c r="W13" s="22" t="s">
        <v>106</v>
      </c>
      <c r="X13" s="22" t="s">
        <v>107</v>
      </c>
      <c r="Y13" s="22" t="s">
        <v>108</v>
      </c>
      <c r="Z13" s="22" t="s">
        <v>109</v>
      </c>
      <c r="AA13" s="22" t="s">
        <v>110</v>
      </c>
      <c r="AB13" s="22"/>
      <c r="AC13" s="22" t="s">
        <v>106</v>
      </c>
      <c r="AD13" s="22" t="s">
        <v>107</v>
      </c>
      <c r="AE13" s="22" t="s">
        <v>108</v>
      </c>
      <c r="AF13" s="22" t="s">
        <v>109</v>
      </c>
      <c r="AG13" s="22" t="s">
        <v>110</v>
      </c>
      <c r="AH13" s="22"/>
    </row>
    <row r="14" spans="1:34" ht="10.8" thickBot="1" x14ac:dyDescent="0.25">
      <c r="A14" s="17">
        <v>1.1000000000000001</v>
      </c>
      <c r="B14" s="507" t="s">
        <v>105</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2"/>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5.75" customHeight="1"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5.75" customHeight="1"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5.75" customHeight="1"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5.75" customHeight="1"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305" t="s">
        <v>12</v>
      </c>
      <c r="C39" s="305"/>
      <c r="D39" s="204"/>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ht="15.75" customHeight="1"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ht="15.75" customHeight="1"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ht="15.75" customHeight="1"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ht="15.75" customHeight="1"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ht="15.75" customHeight="1"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ht="15.75" customHeight="1"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4" t="s">
        <v>135</v>
      </c>
      <c r="E82" s="35">
        <v>2</v>
      </c>
      <c r="F82" s="35">
        <v>2</v>
      </c>
      <c r="G82" s="35">
        <v>2</v>
      </c>
      <c r="H82" s="35">
        <v>4</v>
      </c>
      <c r="I82" s="35"/>
      <c r="J82" s="35">
        <v>10</v>
      </c>
      <c r="K82" s="162">
        <v>2</v>
      </c>
      <c r="L82" s="162">
        <v>2</v>
      </c>
      <c r="M82" s="162">
        <v>2</v>
      </c>
      <c r="N82" s="162">
        <v>4</v>
      </c>
      <c r="O82" s="162"/>
      <c r="P82" s="35">
        <v>10</v>
      </c>
      <c r="Q82" s="162">
        <v>2</v>
      </c>
      <c r="R82" s="162">
        <v>2</v>
      </c>
      <c r="S82" s="162">
        <v>2</v>
      </c>
      <c r="T82" s="162">
        <v>4</v>
      </c>
      <c r="U82" s="35"/>
      <c r="V82" s="35">
        <v>10</v>
      </c>
      <c r="W82" s="162">
        <v>2</v>
      </c>
      <c r="X82" s="162">
        <v>2</v>
      </c>
      <c r="Y82" s="162">
        <v>2</v>
      </c>
      <c r="Z82" s="162">
        <v>4</v>
      </c>
      <c r="AA82" s="162"/>
      <c r="AB82" s="35">
        <v>10</v>
      </c>
      <c r="AC82" s="162">
        <v>2</v>
      </c>
      <c r="AD82" s="162">
        <v>2</v>
      </c>
      <c r="AE82" s="162">
        <v>2</v>
      </c>
      <c r="AF82" s="162">
        <v>4</v>
      </c>
      <c r="AG82" s="35"/>
      <c r="AH82" s="35">
        <v>10</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285"/>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285"/>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285"/>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285"/>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285"/>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10</v>
      </c>
      <c r="F95" s="162">
        <v>10</v>
      </c>
      <c r="G95" s="162">
        <v>10</v>
      </c>
      <c r="H95" s="162">
        <v>12</v>
      </c>
      <c r="I95" s="35"/>
      <c r="J95" s="35">
        <v>42</v>
      </c>
      <c r="K95" s="35">
        <v>10</v>
      </c>
      <c r="L95" s="35">
        <v>10</v>
      </c>
      <c r="M95" s="35">
        <v>10</v>
      </c>
      <c r="N95" s="35">
        <v>12</v>
      </c>
      <c r="O95" s="35"/>
      <c r="P95" s="35">
        <v>42</v>
      </c>
      <c r="Q95" s="162">
        <v>10</v>
      </c>
      <c r="R95" s="162">
        <v>10</v>
      </c>
      <c r="S95" s="162">
        <v>10</v>
      </c>
      <c r="T95" s="162">
        <v>12</v>
      </c>
      <c r="U95" s="35"/>
      <c r="V95" s="35">
        <v>42</v>
      </c>
      <c r="W95" s="162">
        <v>10</v>
      </c>
      <c r="X95" s="162">
        <v>10</v>
      </c>
      <c r="Y95" s="162">
        <v>10</v>
      </c>
      <c r="Z95" s="162">
        <v>12</v>
      </c>
      <c r="AA95" s="162"/>
      <c r="AB95" s="35">
        <v>42</v>
      </c>
      <c r="AC95" s="162">
        <v>10</v>
      </c>
      <c r="AD95" s="162">
        <v>10</v>
      </c>
      <c r="AE95" s="162">
        <v>10</v>
      </c>
      <c r="AF95" s="162">
        <v>12</v>
      </c>
      <c r="AG95" s="35"/>
      <c r="AH95" s="35">
        <v>42</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87"/>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87"/>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87"/>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87"/>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87"/>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09"/>
      <c r="B109" s="42" t="s">
        <v>23</v>
      </c>
      <c r="C109" s="49"/>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509"/>
      <c r="B110" s="549"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09"/>
      <c r="B112" s="288"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09"/>
      <c r="B113" s="288"/>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x14ac:dyDescent="0.2">
      <c r="A114" s="509"/>
      <c r="B114" s="288"/>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09"/>
      <c r="B115" s="288"/>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09"/>
      <c r="B116" s="288"/>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09"/>
      <c r="B117" s="288"/>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09"/>
      <c r="B118" s="288"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09"/>
      <c r="B119" s="288"/>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09"/>
      <c r="B120" s="288"/>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09"/>
      <c r="B121" s="288"/>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09"/>
      <c r="B122" s="288"/>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10"/>
      <c r="B123" s="288"/>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9" customHeight="1"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4"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ht="25.8" customHeight="1" x14ac:dyDescent="0.2">
      <c r="A144" s="289"/>
      <c r="B144" s="284"/>
      <c r="C144" s="24"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4"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51"/>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300" t="s">
        <v>27</v>
      </c>
      <c r="C152" s="446"/>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ht="15.75" customHeight="1" x14ac:dyDescent="0.2">
      <c r="A153" s="273"/>
      <c r="B153" s="284" t="s">
        <v>126</v>
      </c>
      <c r="C153" s="273" t="s">
        <v>26</v>
      </c>
      <c r="D153" s="272" t="s">
        <v>78</v>
      </c>
      <c r="E153" s="246">
        <v>0.01</v>
      </c>
      <c r="F153" s="246">
        <v>0.01</v>
      </c>
      <c r="G153" s="246">
        <v>0.01</v>
      </c>
      <c r="H153" s="246">
        <v>0.01</v>
      </c>
      <c r="I153" s="29"/>
      <c r="J153" s="246">
        <v>0.01</v>
      </c>
      <c r="K153" s="246">
        <v>0.01</v>
      </c>
      <c r="L153" s="246">
        <v>0.01</v>
      </c>
      <c r="M153" s="246">
        <v>0.01</v>
      </c>
      <c r="N153" s="246">
        <v>0.01</v>
      </c>
      <c r="O153" s="26"/>
      <c r="P153" s="246">
        <v>0.01</v>
      </c>
      <c r="Q153" s="246">
        <v>0.01</v>
      </c>
      <c r="R153" s="246">
        <v>0.01</v>
      </c>
      <c r="S153" s="246">
        <v>0.01</v>
      </c>
      <c r="T153" s="246">
        <v>0.01</v>
      </c>
      <c r="U153" s="26"/>
      <c r="V153" s="246">
        <v>0.01</v>
      </c>
      <c r="W153" s="246">
        <v>0.01</v>
      </c>
      <c r="X153" s="246">
        <v>0.01</v>
      </c>
      <c r="Y153" s="246">
        <v>0.01</v>
      </c>
      <c r="Z153" s="246">
        <v>0.01</v>
      </c>
      <c r="AA153" s="26"/>
      <c r="AB153" s="246">
        <v>0.01</v>
      </c>
      <c r="AC153" s="246">
        <v>0.01</v>
      </c>
      <c r="AD153" s="246">
        <v>0.01</v>
      </c>
      <c r="AE153" s="246">
        <v>0.01</v>
      </c>
      <c r="AF153" s="246">
        <v>0.01</v>
      </c>
      <c r="AG153" s="26"/>
      <c r="AH153" s="246">
        <v>0.01</v>
      </c>
    </row>
    <row r="154" spans="1:34" ht="15.75" customHeight="1" x14ac:dyDescent="0.2">
      <c r="A154" s="273"/>
      <c r="B154" s="284"/>
      <c r="C154" s="273"/>
      <c r="D154" s="251"/>
      <c r="E154" s="247"/>
      <c r="F154" s="247"/>
      <c r="G154" s="247"/>
      <c r="H154" s="247"/>
      <c r="I154" s="26"/>
      <c r="J154" s="247"/>
      <c r="K154" s="247"/>
      <c r="L154" s="247"/>
      <c r="M154" s="247"/>
      <c r="N154" s="247"/>
      <c r="O154" s="26"/>
      <c r="P154" s="247"/>
      <c r="Q154" s="247"/>
      <c r="R154" s="247"/>
      <c r="S154" s="247"/>
      <c r="T154" s="247"/>
      <c r="U154" s="26"/>
      <c r="V154" s="247"/>
      <c r="W154" s="247"/>
      <c r="X154" s="247"/>
      <c r="Y154" s="247"/>
      <c r="Z154" s="247"/>
      <c r="AA154" s="26"/>
      <c r="AB154" s="247"/>
      <c r="AC154" s="247"/>
      <c r="AD154" s="247"/>
      <c r="AE154" s="247"/>
      <c r="AF154" s="247"/>
      <c r="AG154" s="26"/>
      <c r="AH154" s="247"/>
    </row>
    <row r="155" spans="1:34" ht="15.75" customHeight="1" x14ac:dyDescent="0.2">
      <c r="A155" s="273"/>
      <c r="B155" s="284"/>
      <c r="C155" s="273" t="s">
        <v>7</v>
      </c>
      <c r="D155" s="272" t="s">
        <v>78</v>
      </c>
      <c r="E155" s="246">
        <v>0.01</v>
      </c>
      <c r="F155" s="246">
        <v>0.01</v>
      </c>
      <c r="G155" s="246">
        <v>0.01</v>
      </c>
      <c r="H155" s="246">
        <v>0.01</v>
      </c>
      <c r="I155" s="26"/>
      <c r="J155" s="246">
        <v>0.01</v>
      </c>
      <c r="K155" s="246">
        <v>0.01</v>
      </c>
      <c r="L155" s="246">
        <v>0.01</v>
      </c>
      <c r="M155" s="246">
        <v>0.01</v>
      </c>
      <c r="N155" s="246">
        <v>0.01</v>
      </c>
      <c r="O155" s="26"/>
      <c r="P155" s="246">
        <v>0.01</v>
      </c>
      <c r="Q155" s="246">
        <v>0.01</v>
      </c>
      <c r="R155" s="246">
        <v>0.01</v>
      </c>
      <c r="S155" s="246">
        <v>0.01</v>
      </c>
      <c r="T155" s="246">
        <v>0.01</v>
      </c>
      <c r="U155" s="26"/>
      <c r="V155" s="246">
        <v>0.01</v>
      </c>
      <c r="W155" s="246">
        <v>0.01</v>
      </c>
      <c r="X155" s="246">
        <v>0.01</v>
      </c>
      <c r="Y155" s="246">
        <v>0.01</v>
      </c>
      <c r="Z155" s="246">
        <v>0.01</v>
      </c>
      <c r="AA155" s="26"/>
      <c r="AB155" s="246">
        <v>0.01</v>
      </c>
      <c r="AC155" s="246">
        <v>0.01</v>
      </c>
      <c r="AD155" s="246">
        <v>0.01</v>
      </c>
      <c r="AE155" s="246">
        <v>0.01</v>
      </c>
      <c r="AF155" s="246">
        <v>0.01</v>
      </c>
      <c r="AG155" s="26"/>
      <c r="AH155" s="246">
        <v>0.01</v>
      </c>
    </row>
    <row r="156" spans="1:34" ht="15.75" customHeight="1" x14ac:dyDescent="0.2">
      <c r="A156" s="273"/>
      <c r="B156" s="284"/>
      <c r="C156" s="273"/>
      <c r="D156" s="251"/>
      <c r="E156" s="247"/>
      <c r="F156" s="247"/>
      <c r="G156" s="247"/>
      <c r="H156" s="247"/>
      <c r="I156" s="26"/>
      <c r="J156" s="247"/>
      <c r="K156" s="247"/>
      <c r="L156" s="247"/>
      <c r="M156" s="247"/>
      <c r="N156" s="247"/>
      <c r="O156" s="26"/>
      <c r="P156" s="247"/>
      <c r="Q156" s="247"/>
      <c r="R156" s="247"/>
      <c r="S156" s="247"/>
      <c r="T156" s="247"/>
      <c r="U156" s="26"/>
      <c r="V156" s="247"/>
      <c r="W156" s="247"/>
      <c r="X156" s="247"/>
      <c r="Y156" s="247"/>
      <c r="Z156" s="247"/>
      <c r="AA156" s="26"/>
      <c r="AB156" s="247"/>
      <c r="AC156" s="247"/>
      <c r="AD156" s="247"/>
      <c r="AE156" s="247"/>
      <c r="AF156" s="247"/>
      <c r="AG156" s="26"/>
      <c r="AH156" s="247"/>
    </row>
    <row r="157" spans="1:34" ht="15.75" customHeight="1" x14ac:dyDescent="0.2">
      <c r="A157" s="273"/>
      <c r="B157" s="284"/>
      <c r="C157" s="273" t="s">
        <v>8</v>
      </c>
      <c r="D157" s="272" t="s">
        <v>78</v>
      </c>
      <c r="E157" s="246">
        <v>0.01</v>
      </c>
      <c r="F157" s="246">
        <v>0.01</v>
      </c>
      <c r="G157" s="246">
        <v>0.01</v>
      </c>
      <c r="H157" s="246">
        <v>0.01</v>
      </c>
      <c r="I157" s="26"/>
      <c r="J157" s="246">
        <v>0.01</v>
      </c>
      <c r="K157" s="246">
        <v>0.01</v>
      </c>
      <c r="L157" s="246">
        <v>0.01</v>
      </c>
      <c r="M157" s="246">
        <v>0.01</v>
      </c>
      <c r="N157" s="246">
        <v>0.01</v>
      </c>
      <c r="O157" s="26"/>
      <c r="P157" s="246">
        <v>0.01</v>
      </c>
      <c r="Q157" s="246">
        <v>0.01</v>
      </c>
      <c r="R157" s="246">
        <v>0.01</v>
      </c>
      <c r="S157" s="246">
        <v>0.01</v>
      </c>
      <c r="T157" s="246">
        <v>0.01</v>
      </c>
      <c r="U157" s="26"/>
      <c r="V157" s="246">
        <v>0.01</v>
      </c>
      <c r="W157" s="246">
        <v>0.01</v>
      </c>
      <c r="X157" s="246">
        <v>0.01</v>
      </c>
      <c r="Y157" s="246">
        <v>0.01</v>
      </c>
      <c r="Z157" s="246">
        <v>0.01</v>
      </c>
      <c r="AA157" s="26"/>
      <c r="AB157" s="246">
        <v>0.01</v>
      </c>
      <c r="AC157" s="246">
        <v>0.01</v>
      </c>
      <c r="AD157" s="246">
        <v>0.01</v>
      </c>
      <c r="AE157" s="246">
        <v>0.01</v>
      </c>
      <c r="AF157" s="246">
        <v>0.01</v>
      </c>
      <c r="AG157" s="26"/>
      <c r="AH157" s="246">
        <v>0.01</v>
      </c>
    </row>
    <row r="158" spans="1:34" ht="15.75" customHeight="1" x14ac:dyDescent="0.2">
      <c r="A158" s="273"/>
      <c r="B158" s="284"/>
      <c r="C158" s="273"/>
      <c r="D158" s="251"/>
      <c r="E158" s="247"/>
      <c r="F158" s="247"/>
      <c r="G158" s="247"/>
      <c r="H158" s="247"/>
      <c r="I158" s="26"/>
      <c r="J158" s="247"/>
      <c r="K158" s="247"/>
      <c r="L158" s="247"/>
      <c r="M158" s="247"/>
      <c r="N158" s="247"/>
      <c r="O158" s="26"/>
      <c r="P158" s="247"/>
      <c r="Q158" s="247"/>
      <c r="R158" s="247"/>
      <c r="S158" s="247"/>
      <c r="T158" s="247"/>
      <c r="U158" s="26"/>
      <c r="V158" s="247"/>
      <c r="W158" s="247"/>
      <c r="X158" s="247"/>
      <c r="Y158" s="247"/>
      <c r="Z158" s="247"/>
      <c r="AA158" s="26"/>
      <c r="AB158" s="247"/>
      <c r="AC158" s="247"/>
      <c r="AD158" s="247"/>
      <c r="AE158" s="247"/>
      <c r="AF158" s="247"/>
      <c r="AG158" s="26"/>
      <c r="AH158" s="247"/>
    </row>
    <row r="159" spans="1:34" ht="15.75" customHeight="1" x14ac:dyDescent="0.2">
      <c r="A159" s="273"/>
      <c r="B159" s="284" t="s">
        <v>127</v>
      </c>
      <c r="C159" s="273" t="s">
        <v>26</v>
      </c>
      <c r="D159" s="272" t="s">
        <v>78</v>
      </c>
      <c r="E159" s="246">
        <v>0.01</v>
      </c>
      <c r="F159" s="246">
        <v>0.01</v>
      </c>
      <c r="G159" s="246">
        <v>0.01</v>
      </c>
      <c r="H159" s="246">
        <v>0.01</v>
      </c>
      <c r="I159" s="26"/>
      <c r="J159" s="246">
        <v>0.01</v>
      </c>
      <c r="K159" s="246">
        <v>0.01</v>
      </c>
      <c r="L159" s="246">
        <v>0.01</v>
      </c>
      <c r="M159" s="246">
        <v>0.01</v>
      </c>
      <c r="N159" s="246">
        <v>0.01</v>
      </c>
      <c r="O159" s="26"/>
      <c r="P159" s="246">
        <v>0.01</v>
      </c>
      <c r="Q159" s="246">
        <v>0.01</v>
      </c>
      <c r="R159" s="246">
        <v>0.01</v>
      </c>
      <c r="S159" s="246">
        <v>0.01</v>
      </c>
      <c r="T159" s="246">
        <v>0.01</v>
      </c>
      <c r="U159" s="26"/>
      <c r="V159" s="246">
        <v>0.01</v>
      </c>
      <c r="W159" s="246">
        <v>0.01</v>
      </c>
      <c r="X159" s="246">
        <v>0.01</v>
      </c>
      <c r="Y159" s="246">
        <v>0.01</v>
      </c>
      <c r="Z159" s="246">
        <v>0.01</v>
      </c>
      <c r="AA159" s="26"/>
      <c r="AB159" s="246">
        <v>0.01</v>
      </c>
      <c r="AC159" s="246">
        <v>0.01</v>
      </c>
      <c r="AD159" s="246">
        <v>0.01</v>
      </c>
      <c r="AE159" s="246">
        <v>0.01</v>
      </c>
      <c r="AF159" s="246">
        <v>0.01</v>
      </c>
      <c r="AG159" s="26"/>
      <c r="AH159" s="246">
        <v>0.01</v>
      </c>
    </row>
    <row r="160" spans="1:34" ht="15.75" customHeight="1" x14ac:dyDescent="0.2">
      <c r="A160" s="273"/>
      <c r="B160" s="284"/>
      <c r="C160" s="273"/>
      <c r="D160" s="251"/>
      <c r="E160" s="247"/>
      <c r="F160" s="247"/>
      <c r="G160" s="247"/>
      <c r="H160" s="247"/>
      <c r="I160" s="26"/>
      <c r="J160" s="247"/>
      <c r="K160" s="247"/>
      <c r="L160" s="247"/>
      <c r="M160" s="247"/>
      <c r="N160" s="247"/>
      <c r="O160" s="26"/>
      <c r="P160" s="247"/>
      <c r="Q160" s="247"/>
      <c r="R160" s="247"/>
      <c r="S160" s="247"/>
      <c r="T160" s="247"/>
      <c r="U160" s="26"/>
      <c r="V160" s="247"/>
      <c r="W160" s="247"/>
      <c r="X160" s="247"/>
      <c r="Y160" s="247"/>
      <c r="Z160" s="247"/>
      <c r="AA160" s="26"/>
      <c r="AB160" s="247"/>
      <c r="AC160" s="247"/>
      <c r="AD160" s="247"/>
      <c r="AE160" s="247"/>
      <c r="AF160" s="247"/>
      <c r="AG160" s="26"/>
      <c r="AH160" s="247"/>
    </row>
    <row r="161" spans="1:34" ht="15.75" customHeight="1" x14ac:dyDescent="0.2">
      <c r="A161" s="273"/>
      <c r="B161" s="284"/>
      <c r="C161" s="273" t="s">
        <v>7</v>
      </c>
      <c r="D161" s="272" t="s">
        <v>78</v>
      </c>
      <c r="E161" s="246">
        <v>0.01</v>
      </c>
      <c r="F161" s="246">
        <v>0.01</v>
      </c>
      <c r="G161" s="246">
        <v>0.01</v>
      </c>
      <c r="H161" s="246">
        <v>0.01</v>
      </c>
      <c r="I161" s="26"/>
      <c r="J161" s="246">
        <v>0.01</v>
      </c>
      <c r="K161" s="246">
        <v>0.01</v>
      </c>
      <c r="L161" s="246">
        <v>0.01</v>
      </c>
      <c r="M161" s="246">
        <v>0.01</v>
      </c>
      <c r="N161" s="246">
        <v>0.01</v>
      </c>
      <c r="O161" s="26"/>
      <c r="P161" s="246">
        <v>0.01</v>
      </c>
      <c r="Q161" s="246">
        <v>0.01</v>
      </c>
      <c r="R161" s="246">
        <v>0.01</v>
      </c>
      <c r="S161" s="246">
        <v>0.01</v>
      </c>
      <c r="T161" s="246">
        <v>0.01</v>
      </c>
      <c r="U161" s="26"/>
      <c r="V161" s="246">
        <v>0.01</v>
      </c>
      <c r="W161" s="246">
        <v>0.01</v>
      </c>
      <c r="X161" s="246">
        <v>0.01</v>
      </c>
      <c r="Y161" s="246">
        <v>0.01</v>
      </c>
      <c r="Z161" s="246">
        <v>0.01</v>
      </c>
      <c r="AA161" s="26"/>
      <c r="AB161" s="246">
        <v>0.01</v>
      </c>
      <c r="AC161" s="246">
        <v>0.01</v>
      </c>
      <c r="AD161" s="246">
        <v>0.01</v>
      </c>
      <c r="AE161" s="246">
        <v>0.01</v>
      </c>
      <c r="AF161" s="246">
        <v>0.01</v>
      </c>
      <c r="AG161" s="26"/>
      <c r="AH161" s="246">
        <v>0.01</v>
      </c>
    </row>
    <row r="162" spans="1:34" ht="15.75" customHeight="1" x14ac:dyDescent="0.2">
      <c r="A162" s="273"/>
      <c r="B162" s="284"/>
      <c r="C162" s="273"/>
      <c r="D162" s="251"/>
      <c r="E162" s="247"/>
      <c r="F162" s="247"/>
      <c r="G162" s="247"/>
      <c r="H162" s="247"/>
      <c r="I162" s="26"/>
      <c r="J162" s="247"/>
      <c r="K162" s="247"/>
      <c r="L162" s="247"/>
      <c r="M162" s="247"/>
      <c r="N162" s="247"/>
      <c r="O162" s="26"/>
      <c r="P162" s="247"/>
      <c r="Q162" s="247"/>
      <c r="R162" s="247"/>
      <c r="S162" s="247"/>
      <c r="T162" s="247"/>
      <c r="U162" s="26"/>
      <c r="V162" s="247"/>
      <c r="W162" s="247"/>
      <c r="X162" s="247"/>
      <c r="Y162" s="247"/>
      <c r="Z162" s="247"/>
      <c r="AA162" s="26"/>
      <c r="AB162" s="247"/>
      <c r="AC162" s="247"/>
      <c r="AD162" s="247"/>
      <c r="AE162" s="247"/>
      <c r="AF162" s="247"/>
      <c r="AG162" s="26"/>
      <c r="AH162" s="247"/>
    </row>
    <row r="163" spans="1:34" ht="15.75" customHeight="1" x14ac:dyDescent="0.2">
      <c r="A163" s="273"/>
      <c r="B163" s="284"/>
      <c r="C163" s="273" t="s">
        <v>8</v>
      </c>
      <c r="D163" s="272" t="s">
        <v>78</v>
      </c>
      <c r="E163" s="246">
        <v>0.01</v>
      </c>
      <c r="F163" s="246">
        <v>0.01</v>
      </c>
      <c r="G163" s="246">
        <v>0.01</v>
      </c>
      <c r="H163" s="246">
        <v>0.01</v>
      </c>
      <c r="I163" s="26"/>
      <c r="J163" s="246">
        <v>0.01</v>
      </c>
      <c r="K163" s="246">
        <v>0.01</v>
      </c>
      <c r="L163" s="246">
        <v>0.01</v>
      </c>
      <c r="M163" s="246">
        <v>0.01</v>
      </c>
      <c r="N163" s="246">
        <v>0.01</v>
      </c>
      <c r="O163" s="26"/>
      <c r="P163" s="246">
        <v>0.01</v>
      </c>
      <c r="Q163" s="246">
        <v>0.01</v>
      </c>
      <c r="R163" s="246">
        <v>0.01</v>
      </c>
      <c r="S163" s="246">
        <v>0.01</v>
      </c>
      <c r="T163" s="246">
        <v>0.01</v>
      </c>
      <c r="U163" s="26"/>
      <c r="V163" s="246">
        <v>0.01</v>
      </c>
      <c r="W163" s="246">
        <v>0.01</v>
      </c>
      <c r="X163" s="246">
        <v>0.01</v>
      </c>
      <c r="Y163" s="246">
        <v>0.01</v>
      </c>
      <c r="Z163" s="246">
        <v>0.01</v>
      </c>
      <c r="AA163" s="26"/>
      <c r="AB163" s="246">
        <v>0.01</v>
      </c>
      <c r="AC163" s="246">
        <v>0.01</v>
      </c>
      <c r="AD163" s="246">
        <v>0.01</v>
      </c>
      <c r="AE163" s="246">
        <v>0.01</v>
      </c>
      <c r="AF163" s="246">
        <v>0.01</v>
      </c>
      <c r="AG163" s="26"/>
      <c r="AH163" s="246">
        <v>0.01</v>
      </c>
    </row>
    <row r="164" spans="1:34" ht="15.75" customHeight="1" x14ac:dyDescent="0.2">
      <c r="A164" s="273"/>
      <c r="B164" s="284"/>
      <c r="C164" s="273"/>
      <c r="D164" s="251"/>
      <c r="E164" s="247"/>
      <c r="F164" s="247"/>
      <c r="G164" s="247"/>
      <c r="H164" s="247"/>
      <c r="I164" s="26"/>
      <c r="J164" s="247"/>
      <c r="K164" s="247"/>
      <c r="L164" s="247"/>
      <c r="M164" s="247"/>
      <c r="N164" s="247"/>
      <c r="O164" s="26"/>
      <c r="P164" s="247"/>
      <c r="Q164" s="247"/>
      <c r="R164" s="247"/>
      <c r="S164" s="247"/>
      <c r="T164" s="247"/>
      <c r="U164" s="26"/>
      <c r="V164" s="247"/>
      <c r="W164" s="247"/>
      <c r="X164" s="247"/>
      <c r="Y164" s="247"/>
      <c r="Z164" s="247"/>
      <c r="AA164" s="26"/>
      <c r="AB164" s="247"/>
      <c r="AC164" s="247"/>
      <c r="AD164" s="247"/>
      <c r="AE164" s="247"/>
      <c r="AF164" s="247"/>
      <c r="AG164" s="26"/>
      <c r="AH164" s="247"/>
    </row>
    <row r="165" spans="1:34" ht="15.75" customHeight="1" x14ac:dyDescent="0.2">
      <c r="A165" s="273"/>
      <c r="B165" s="284" t="s">
        <v>128</v>
      </c>
      <c r="C165" s="291" t="s">
        <v>6</v>
      </c>
      <c r="D165" s="272" t="s">
        <v>78</v>
      </c>
      <c r="E165" s="246">
        <v>0</v>
      </c>
      <c r="F165" s="246">
        <v>0</v>
      </c>
      <c r="G165" s="246">
        <v>0</v>
      </c>
      <c r="H165" s="246">
        <v>0</v>
      </c>
      <c r="I165" s="26"/>
      <c r="J165" s="246">
        <v>0</v>
      </c>
      <c r="K165" s="246">
        <v>0</v>
      </c>
      <c r="L165" s="246">
        <v>0</v>
      </c>
      <c r="M165" s="246">
        <v>0</v>
      </c>
      <c r="N165" s="246">
        <v>0</v>
      </c>
      <c r="O165" s="26"/>
      <c r="P165" s="246">
        <v>0</v>
      </c>
      <c r="Q165" s="246">
        <v>0</v>
      </c>
      <c r="R165" s="246">
        <v>0</v>
      </c>
      <c r="S165" s="246">
        <v>0</v>
      </c>
      <c r="T165" s="246">
        <v>0</v>
      </c>
      <c r="U165" s="26"/>
      <c r="V165" s="246">
        <v>0</v>
      </c>
      <c r="W165" s="246">
        <v>0</v>
      </c>
      <c r="X165" s="246">
        <v>0</v>
      </c>
      <c r="Y165" s="246">
        <v>0</v>
      </c>
      <c r="Z165" s="246">
        <v>0</v>
      </c>
      <c r="AA165" s="26"/>
      <c r="AB165" s="246">
        <v>0</v>
      </c>
      <c r="AC165" s="246">
        <v>0</v>
      </c>
      <c r="AD165" s="246">
        <v>0</v>
      </c>
      <c r="AE165" s="246">
        <v>0</v>
      </c>
      <c r="AF165" s="246">
        <v>0</v>
      </c>
      <c r="AG165" s="26"/>
      <c r="AH165" s="246">
        <v>0</v>
      </c>
    </row>
    <row r="166" spans="1:34" ht="15.75" customHeight="1" x14ac:dyDescent="0.2">
      <c r="A166" s="273"/>
      <c r="B166" s="284"/>
      <c r="C166" s="291"/>
      <c r="D166" s="251"/>
      <c r="E166" s="247"/>
      <c r="F166" s="247"/>
      <c r="G166" s="247"/>
      <c r="H166" s="247"/>
      <c r="I166" s="26"/>
      <c r="J166" s="247"/>
      <c r="K166" s="247"/>
      <c r="L166" s="247"/>
      <c r="M166" s="247"/>
      <c r="N166" s="247"/>
      <c r="O166" s="26"/>
      <c r="P166" s="247"/>
      <c r="Q166" s="247"/>
      <c r="R166" s="247"/>
      <c r="S166" s="247"/>
      <c r="T166" s="247"/>
      <c r="U166" s="26"/>
      <c r="V166" s="247"/>
      <c r="W166" s="247"/>
      <c r="X166" s="247"/>
      <c r="Y166" s="247"/>
      <c r="Z166" s="247"/>
      <c r="AA166" s="26"/>
      <c r="AB166" s="247"/>
      <c r="AC166" s="247"/>
      <c r="AD166" s="247"/>
      <c r="AE166" s="247"/>
      <c r="AF166" s="247"/>
      <c r="AG166" s="26"/>
      <c r="AH166" s="247"/>
    </row>
    <row r="167" spans="1:34" ht="15.75" customHeight="1" x14ac:dyDescent="0.2">
      <c r="A167" s="273"/>
      <c r="B167" s="284"/>
      <c r="C167" s="291" t="s">
        <v>7</v>
      </c>
      <c r="D167" s="272" t="s">
        <v>78</v>
      </c>
      <c r="E167" s="246">
        <v>0</v>
      </c>
      <c r="F167" s="246">
        <v>0</v>
      </c>
      <c r="G167" s="246">
        <v>0</v>
      </c>
      <c r="H167" s="246">
        <v>0</v>
      </c>
      <c r="I167" s="26"/>
      <c r="J167" s="246">
        <v>0</v>
      </c>
      <c r="K167" s="246">
        <v>0</v>
      </c>
      <c r="L167" s="246">
        <v>0</v>
      </c>
      <c r="M167" s="246">
        <v>0</v>
      </c>
      <c r="N167" s="246">
        <v>0</v>
      </c>
      <c r="O167" s="26"/>
      <c r="P167" s="246">
        <v>0</v>
      </c>
      <c r="Q167" s="246">
        <v>0</v>
      </c>
      <c r="R167" s="246">
        <v>0</v>
      </c>
      <c r="S167" s="246">
        <v>0</v>
      </c>
      <c r="T167" s="246">
        <v>0</v>
      </c>
      <c r="U167" s="26"/>
      <c r="V167" s="246">
        <v>0</v>
      </c>
      <c r="W167" s="246">
        <v>0</v>
      </c>
      <c r="X167" s="246">
        <v>0</v>
      </c>
      <c r="Y167" s="246">
        <v>0</v>
      </c>
      <c r="Z167" s="246">
        <v>0</v>
      </c>
      <c r="AA167" s="26"/>
      <c r="AB167" s="246">
        <v>0</v>
      </c>
      <c r="AC167" s="246">
        <v>0</v>
      </c>
      <c r="AD167" s="246">
        <v>0</v>
      </c>
      <c r="AE167" s="246">
        <v>0</v>
      </c>
      <c r="AF167" s="246">
        <v>0</v>
      </c>
      <c r="AG167" s="26"/>
      <c r="AH167" s="246">
        <v>0</v>
      </c>
    </row>
    <row r="168" spans="1:34" ht="15.75" customHeight="1" x14ac:dyDescent="0.2">
      <c r="A168" s="273"/>
      <c r="B168" s="284"/>
      <c r="C168" s="291"/>
      <c r="D168" s="251"/>
      <c r="E168" s="247"/>
      <c r="F168" s="247"/>
      <c r="G168" s="247"/>
      <c r="H168" s="247"/>
      <c r="I168" s="26"/>
      <c r="J168" s="247"/>
      <c r="K168" s="247"/>
      <c r="L168" s="247"/>
      <c r="M168" s="247"/>
      <c r="N168" s="247"/>
      <c r="O168" s="26"/>
      <c r="P168" s="247"/>
      <c r="Q168" s="247"/>
      <c r="R168" s="247"/>
      <c r="S168" s="247"/>
      <c r="T168" s="247"/>
      <c r="U168" s="26"/>
      <c r="V168" s="247"/>
      <c r="W168" s="247"/>
      <c r="X168" s="247"/>
      <c r="Y168" s="247"/>
      <c r="Z168" s="247"/>
      <c r="AA168" s="26"/>
      <c r="AB168" s="247"/>
      <c r="AC168" s="247"/>
      <c r="AD168" s="247"/>
      <c r="AE168" s="247"/>
      <c r="AF168" s="247"/>
      <c r="AG168" s="26"/>
      <c r="AH168" s="247"/>
    </row>
    <row r="169" spans="1:34" ht="15.75" customHeight="1" x14ac:dyDescent="0.2">
      <c r="A169" s="273"/>
      <c r="B169" s="284"/>
      <c r="C169" s="291" t="s">
        <v>8</v>
      </c>
      <c r="D169" s="272" t="s">
        <v>78</v>
      </c>
      <c r="E169" s="246">
        <v>0</v>
      </c>
      <c r="F169" s="246">
        <v>0</v>
      </c>
      <c r="G169" s="246">
        <v>0</v>
      </c>
      <c r="H169" s="246">
        <v>0</v>
      </c>
      <c r="I169" s="26"/>
      <c r="J169" s="246">
        <v>0</v>
      </c>
      <c r="K169" s="246">
        <v>0</v>
      </c>
      <c r="L169" s="246">
        <v>0</v>
      </c>
      <c r="M169" s="246">
        <v>0</v>
      </c>
      <c r="N169" s="246">
        <v>0</v>
      </c>
      <c r="O169" s="26"/>
      <c r="P169" s="246">
        <v>0</v>
      </c>
      <c r="Q169" s="246">
        <v>0</v>
      </c>
      <c r="R169" s="246">
        <v>0</v>
      </c>
      <c r="S169" s="246">
        <v>0</v>
      </c>
      <c r="T169" s="246">
        <v>0</v>
      </c>
      <c r="U169" s="26"/>
      <c r="V169" s="246">
        <v>0</v>
      </c>
      <c r="W169" s="246">
        <v>0</v>
      </c>
      <c r="X169" s="246">
        <v>0</v>
      </c>
      <c r="Y169" s="246">
        <v>0</v>
      </c>
      <c r="Z169" s="246">
        <v>0</v>
      </c>
      <c r="AA169" s="26"/>
      <c r="AB169" s="246">
        <v>0</v>
      </c>
      <c r="AC169" s="246">
        <v>0</v>
      </c>
      <c r="AD169" s="246">
        <v>0</v>
      </c>
      <c r="AE169" s="246">
        <v>0</v>
      </c>
      <c r="AF169" s="246">
        <v>0</v>
      </c>
      <c r="AG169" s="26"/>
      <c r="AH169" s="246">
        <v>0</v>
      </c>
    </row>
    <row r="170" spans="1:34" ht="15.75" customHeight="1" x14ac:dyDescent="0.2">
      <c r="A170" s="273"/>
      <c r="B170" s="284"/>
      <c r="C170" s="291"/>
      <c r="D170" s="251"/>
      <c r="E170" s="247"/>
      <c r="F170" s="247"/>
      <c r="G170" s="247"/>
      <c r="H170" s="247"/>
      <c r="I170" s="26"/>
      <c r="J170" s="247"/>
      <c r="K170" s="247"/>
      <c r="L170" s="247"/>
      <c r="M170" s="247"/>
      <c r="N170" s="247"/>
      <c r="O170" s="26"/>
      <c r="P170" s="247"/>
      <c r="Q170" s="247"/>
      <c r="R170" s="247"/>
      <c r="S170" s="247"/>
      <c r="T170" s="247"/>
      <c r="U170" s="26"/>
      <c r="V170" s="247"/>
      <c r="W170" s="247"/>
      <c r="X170" s="247"/>
      <c r="Y170" s="247"/>
      <c r="Z170" s="247"/>
      <c r="AA170" s="26"/>
      <c r="AB170" s="247"/>
      <c r="AC170" s="247"/>
      <c r="AD170" s="247"/>
      <c r="AE170" s="247"/>
      <c r="AF170" s="247"/>
      <c r="AG170" s="26"/>
      <c r="AH170" s="247"/>
    </row>
    <row r="171" spans="1:34" ht="15" customHeight="1" x14ac:dyDescent="0.2">
      <c r="A171" s="273"/>
      <c r="B171" s="284" t="s">
        <v>88</v>
      </c>
      <c r="C171" s="291" t="s">
        <v>6</v>
      </c>
      <c r="D171" s="272" t="s">
        <v>78</v>
      </c>
      <c r="E171" s="246">
        <v>0</v>
      </c>
      <c r="F171" s="246">
        <v>0</v>
      </c>
      <c r="G171" s="246">
        <v>0</v>
      </c>
      <c r="H171" s="246">
        <v>0</v>
      </c>
      <c r="I171" s="26"/>
      <c r="J171" s="246">
        <v>0</v>
      </c>
      <c r="K171" s="246">
        <v>0</v>
      </c>
      <c r="L171" s="246">
        <v>0</v>
      </c>
      <c r="M171" s="246">
        <v>0</v>
      </c>
      <c r="N171" s="246">
        <v>0</v>
      </c>
      <c r="O171" s="26"/>
      <c r="P171" s="246">
        <v>0</v>
      </c>
      <c r="Q171" s="246">
        <v>0</v>
      </c>
      <c r="R171" s="246">
        <v>0</v>
      </c>
      <c r="S171" s="246">
        <v>0</v>
      </c>
      <c r="T171" s="246">
        <v>0</v>
      </c>
      <c r="U171" s="26"/>
      <c r="V171" s="246">
        <v>0</v>
      </c>
      <c r="W171" s="246">
        <v>0</v>
      </c>
      <c r="X171" s="246">
        <v>0</v>
      </c>
      <c r="Y171" s="246">
        <v>0</v>
      </c>
      <c r="Z171" s="246">
        <v>0</v>
      </c>
      <c r="AA171" s="26"/>
      <c r="AB171" s="246">
        <v>0</v>
      </c>
      <c r="AC171" s="246">
        <v>0</v>
      </c>
      <c r="AD171" s="246">
        <v>0</v>
      </c>
      <c r="AE171" s="246">
        <v>0</v>
      </c>
      <c r="AF171" s="246">
        <v>0</v>
      </c>
      <c r="AG171" s="26"/>
      <c r="AH171" s="246">
        <v>0</v>
      </c>
    </row>
    <row r="172" spans="1:34" ht="15.75" customHeight="1" x14ac:dyDescent="0.2">
      <c r="A172" s="449"/>
      <c r="B172" s="284"/>
      <c r="C172" s="291"/>
      <c r="D172" s="251"/>
      <c r="E172" s="247"/>
      <c r="F172" s="247"/>
      <c r="G172" s="247"/>
      <c r="H172" s="247"/>
      <c r="I172" s="26"/>
      <c r="J172" s="247"/>
      <c r="K172" s="247"/>
      <c r="L172" s="247"/>
      <c r="M172" s="247"/>
      <c r="N172" s="247"/>
      <c r="O172" s="26"/>
      <c r="P172" s="247"/>
      <c r="Q172" s="247"/>
      <c r="R172" s="247"/>
      <c r="S172" s="247"/>
      <c r="T172" s="247"/>
      <c r="U172" s="26"/>
      <c r="V172" s="247"/>
      <c r="W172" s="247"/>
      <c r="X172" s="247"/>
      <c r="Y172" s="247"/>
      <c r="Z172" s="247"/>
      <c r="AA172" s="26"/>
      <c r="AB172" s="247"/>
      <c r="AC172" s="247"/>
      <c r="AD172" s="247"/>
      <c r="AE172" s="247"/>
      <c r="AF172" s="247"/>
      <c r="AG172" s="26"/>
      <c r="AH172" s="247"/>
    </row>
    <row r="173" spans="1:34" ht="15.75" customHeight="1" x14ac:dyDescent="0.2">
      <c r="A173" s="449"/>
      <c r="B173" s="284"/>
      <c r="C173" s="291" t="s">
        <v>7</v>
      </c>
      <c r="D173" s="272" t="s">
        <v>78</v>
      </c>
      <c r="E173" s="246">
        <v>0</v>
      </c>
      <c r="F173" s="246">
        <v>0</v>
      </c>
      <c r="G173" s="246">
        <v>0</v>
      </c>
      <c r="H173" s="246">
        <v>0</v>
      </c>
      <c r="I173" s="26"/>
      <c r="J173" s="246">
        <v>0</v>
      </c>
      <c r="K173" s="246">
        <v>0</v>
      </c>
      <c r="L173" s="246">
        <v>0</v>
      </c>
      <c r="M173" s="246">
        <v>0</v>
      </c>
      <c r="N173" s="246">
        <v>0</v>
      </c>
      <c r="O173" s="26"/>
      <c r="P173" s="246">
        <v>0</v>
      </c>
      <c r="Q173" s="246">
        <v>0</v>
      </c>
      <c r="R173" s="246">
        <v>0</v>
      </c>
      <c r="S173" s="246">
        <v>0</v>
      </c>
      <c r="T173" s="246">
        <v>0</v>
      </c>
      <c r="U173" s="26"/>
      <c r="V173" s="246">
        <v>0</v>
      </c>
      <c r="W173" s="246">
        <v>0</v>
      </c>
      <c r="X173" s="246">
        <v>0</v>
      </c>
      <c r="Y173" s="246">
        <v>0</v>
      </c>
      <c r="Z173" s="246">
        <v>0</v>
      </c>
      <c r="AA173" s="26"/>
      <c r="AB173" s="246">
        <v>0</v>
      </c>
      <c r="AC173" s="246">
        <v>0</v>
      </c>
      <c r="AD173" s="246">
        <v>0</v>
      </c>
      <c r="AE173" s="246">
        <v>0</v>
      </c>
      <c r="AF173" s="246">
        <v>0</v>
      </c>
      <c r="AG173" s="26"/>
      <c r="AH173" s="246">
        <v>0</v>
      </c>
    </row>
    <row r="174" spans="1:34" ht="15.75" customHeight="1" x14ac:dyDescent="0.2">
      <c r="A174" s="449"/>
      <c r="B174" s="284"/>
      <c r="C174" s="291"/>
      <c r="D174" s="251"/>
      <c r="E174" s="247"/>
      <c r="F174" s="247"/>
      <c r="G174" s="247"/>
      <c r="H174" s="247"/>
      <c r="I174" s="26"/>
      <c r="J174" s="247"/>
      <c r="K174" s="247"/>
      <c r="L174" s="247"/>
      <c r="M174" s="247"/>
      <c r="N174" s="247"/>
      <c r="O174" s="26"/>
      <c r="P174" s="247"/>
      <c r="Q174" s="247"/>
      <c r="R174" s="247"/>
      <c r="S174" s="247"/>
      <c r="T174" s="247"/>
      <c r="U174" s="26"/>
      <c r="V174" s="247"/>
      <c r="W174" s="247"/>
      <c r="X174" s="247"/>
      <c r="Y174" s="247"/>
      <c r="Z174" s="247"/>
      <c r="AA174" s="26"/>
      <c r="AB174" s="247"/>
      <c r="AC174" s="247"/>
      <c r="AD174" s="247"/>
      <c r="AE174" s="247"/>
      <c r="AF174" s="247"/>
      <c r="AG174" s="26"/>
      <c r="AH174" s="247"/>
    </row>
    <row r="175" spans="1:34" ht="15.75" customHeight="1" x14ac:dyDescent="0.2">
      <c r="A175" s="449"/>
      <c r="B175" s="284"/>
      <c r="C175" s="291" t="s">
        <v>8</v>
      </c>
      <c r="D175" s="272" t="s">
        <v>78</v>
      </c>
      <c r="E175" s="246">
        <v>0</v>
      </c>
      <c r="F175" s="246">
        <v>0</v>
      </c>
      <c r="G175" s="246">
        <v>0</v>
      </c>
      <c r="H175" s="246">
        <v>0</v>
      </c>
      <c r="I175" s="26"/>
      <c r="J175" s="246">
        <v>0</v>
      </c>
      <c r="K175" s="246">
        <v>0</v>
      </c>
      <c r="L175" s="246">
        <v>0</v>
      </c>
      <c r="M175" s="246">
        <v>0</v>
      </c>
      <c r="N175" s="246">
        <v>0</v>
      </c>
      <c r="O175" s="26"/>
      <c r="P175" s="246">
        <v>0</v>
      </c>
      <c r="Q175" s="246">
        <v>0</v>
      </c>
      <c r="R175" s="246">
        <v>0</v>
      </c>
      <c r="S175" s="246">
        <v>0</v>
      </c>
      <c r="T175" s="246">
        <v>0</v>
      </c>
      <c r="U175" s="26"/>
      <c r="V175" s="246">
        <v>0</v>
      </c>
      <c r="W175" s="246">
        <v>0</v>
      </c>
      <c r="X175" s="246">
        <v>0</v>
      </c>
      <c r="Y175" s="246">
        <v>0</v>
      </c>
      <c r="Z175" s="246">
        <v>0</v>
      </c>
      <c r="AA175" s="26"/>
      <c r="AB175" s="246">
        <v>0</v>
      </c>
      <c r="AC175" s="246">
        <v>0</v>
      </c>
      <c r="AD175" s="246">
        <v>0</v>
      </c>
      <c r="AE175" s="246">
        <v>0</v>
      </c>
      <c r="AF175" s="246">
        <v>0</v>
      </c>
      <c r="AG175" s="26"/>
      <c r="AH175" s="246">
        <v>0</v>
      </c>
    </row>
    <row r="176" spans="1:34" ht="15.75" customHeight="1" x14ac:dyDescent="0.2">
      <c r="A176" s="449"/>
      <c r="B176" s="284"/>
      <c r="C176" s="291"/>
      <c r="D176" s="251"/>
      <c r="E176" s="247"/>
      <c r="F176" s="247"/>
      <c r="G176" s="247"/>
      <c r="H176" s="247"/>
      <c r="I176" s="26"/>
      <c r="J176" s="247"/>
      <c r="K176" s="247"/>
      <c r="L176" s="247"/>
      <c r="M176" s="247"/>
      <c r="N176" s="247"/>
      <c r="O176" s="26"/>
      <c r="P176" s="247"/>
      <c r="Q176" s="247"/>
      <c r="R176" s="247"/>
      <c r="S176" s="247"/>
      <c r="T176" s="247"/>
      <c r="U176" s="26"/>
      <c r="V176" s="247"/>
      <c r="W176" s="247"/>
      <c r="X176" s="247"/>
      <c r="Y176" s="247"/>
      <c r="Z176" s="247"/>
      <c r="AA176" s="26"/>
      <c r="AB176" s="247"/>
      <c r="AC176" s="247"/>
      <c r="AD176" s="247"/>
      <c r="AE176" s="247"/>
      <c r="AF176" s="247"/>
      <c r="AG176" s="26"/>
      <c r="AH176" s="247"/>
    </row>
    <row r="177" spans="1:34" ht="18" customHeight="1" x14ac:dyDescent="0.2">
      <c r="A177" s="273"/>
      <c r="B177" s="284" t="s">
        <v>141</v>
      </c>
      <c r="C177" s="284" t="s">
        <v>6</v>
      </c>
      <c r="D177" s="272" t="s">
        <v>78</v>
      </c>
      <c r="E177" s="246">
        <v>0</v>
      </c>
      <c r="F177" s="246">
        <v>0</v>
      </c>
      <c r="G177" s="246">
        <v>0</v>
      </c>
      <c r="H177" s="246">
        <v>0</v>
      </c>
      <c r="I177" s="26"/>
      <c r="J177" s="246">
        <v>0</v>
      </c>
      <c r="K177" s="246">
        <v>0</v>
      </c>
      <c r="L177" s="246">
        <v>0</v>
      </c>
      <c r="M177" s="246">
        <v>0</v>
      </c>
      <c r="N177" s="246">
        <v>0</v>
      </c>
      <c r="O177" s="26"/>
      <c r="P177" s="246">
        <v>0</v>
      </c>
      <c r="Q177" s="246">
        <v>0</v>
      </c>
      <c r="R177" s="246">
        <v>0</v>
      </c>
      <c r="S177" s="246">
        <v>0</v>
      </c>
      <c r="T177" s="246">
        <v>0</v>
      </c>
      <c r="U177" s="26"/>
      <c r="V177" s="246">
        <v>0</v>
      </c>
      <c r="W177" s="246">
        <v>0</v>
      </c>
      <c r="X177" s="246">
        <v>0</v>
      </c>
      <c r="Y177" s="246">
        <v>0</v>
      </c>
      <c r="Z177" s="246">
        <v>0</v>
      </c>
      <c r="AA177" s="26"/>
      <c r="AB177" s="246">
        <v>0</v>
      </c>
      <c r="AC177" s="246">
        <v>0</v>
      </c>
      <c r="AD177" s="246">
        <v>0</v>
      </c>
      <c r="AE177" s="246">
        <v>0</v>
      </c>
      <c r="AF177" s="246">
        <v>0</v>
      </c>
      <c r="AG177" s="26"/>
      <c r="AH177" s="246">
        <v>0</v>
      </c>
    </row>
    <row r="178" spans="1:34" ht="15.75" customHeight="1" x14ac:dyDescent="0.2">
      <c r="A178" s="449"/>
      <c r="B178" s="284"/>
      <c r="C178" s="284"/>
      <c r="D178" s="251"/>
      <c r="E178" s="247"/>
      <c r="F178" s="247"/>
      <c r="G178" s="247"/>
      <c r="H178" s="247"/>
      <c r="I178" s="26"/>
      <c r="J178" s="247"/>
      <c r="K178" s="247"/>
      <c r="L178" s="247"/>
      <c r="M178" s="247"/>
      <c r="N178" s="247"/>
      <c r="O178" s="26"/>
      <c r="P178" s="247"/>
      <c r="Q178" s="247"/>
      <c r="R178" s="247"/>
      <c r="S178" s="247"/>
      <c r="T178" s="247"/>
      <c r="U178" s="26"/>
      <c r="V178" s="247"/>
      <c r="W178" s="247"/>
      <c r="X178" s="247"/>
      <c r="Y178" s="247"/>
      <c r="Z178" s="247"/>
      <c r="AA178" s="26"/>
      <c r="AB178" s="247"/>
      <c r="AC178" s="247"/>
      <c r="AD178" s="247"/>
      <c r="AE178" s="247"/>
      <c r="AF178" s="247"/>
      <c r="AG178" s="26"/>
      <c r="AH178" s="247"/>
    </row>
    <row r="179" spans="1:34" ht="15.75" customHeight="1" x14ac:dyDescent="0.2">
      <c r="A179" s="449"/>
      <c r="B179" s="284"/>
      <c r="C179" s="284" t="s">
        <v>7</v>
      </c>
      <c r="D179" s="272" t="s">
        <v>78</v>
      </c>
      <c r="E179" s="246">
        <v>0</v>
      </c>
      <c r="F179" s="246">
        <v>0</v>
      </c>
      <c r="G179" s="246">
        <v>0</v>
      </c>
      <c r="H179" s="246">
        <v>0</v>
      </c>
      <c r="I179" s="26"/>
      <c r="J179" s="246">
        <v>0</v>
      </c>
      <c r="K179" s="246">
        <v>0</v>
      </c>
      <c r="L179" s="246">
        <v>0</v>
      </c>
      <c r="M179" s="246">
        <v>0</v>
      </c>
      <c r="N179" s="246">
        <v>0</v>
      </c>
      <c r="O179" s="26"/>
      <c r="P179" s="246">
        <v>0</v>
      </c>
      <c r="Q179" s="246">
        <v>0</v>
      </c>
      <c r="R179" s="246">
        <v>0</v>
      </c>
      <c r="S179" s="246">
        <v>0</v>
      </c>
      <c r="T179" s="246">
        <v>0</v>
      </c>
      <c r="U179" s="26"/>
      <c r="V179" s="246">
        <v>0</v>
      </c>
      <c r="W179" s="246">
        <v>0</v>
      </c>
      <c r="X179" s="246">
        <v>0</v>
      </c>
      <c r="Y179" s="246">
        <v>0</v>
      </c>
      <c r="Z179" s="246">
        <v>0</v>
      </c>
      <c r="AA179" s="26"/>
      <c r="AB179" s="246">
        <v>0</v>
      </c>
      <c r="AC179" s="246">
        <v>0</v>
      </c>
      <c r="AD179" s="246">
        <v>0</v>
      </c>
      <c r="AE179" s="246">
        <v>0</v>
      </c>
      <c r="AF179" s="246">
        <v>0</v>
      </c>
      <c r="AG179" s="26"/>
      <c r="AH179" s="246">
        <v>0</v>
      </c>
    </row>
    <row r="180" spans="1:34" ht="15.75" customHeight="1" x14ac:dyDescent="0.2">
      <c r="A180" s="449"/>
      <c r="B180" s="284"/>
      <c r="C180" s="284"/>
      <c r="D180" s="251"/>
      <c r="E180" s="247"/>
      <c r="F180" s="247"/>
      <c r="G180" s="247"/>
      <c r="H180" s="247"/>
      <c r="I180" s="26"/>
      <c r="J180" s="247"/>
      <c r="K180" s="247"/>
      <c r="L180" s="247"/>
      <c r="M180" s="247"/>
      <c r="N180" s="247"/>
      <c r="O180" s="26"/>
      <c r="P180" s="247"/>
      <c r="Q180" s="247"/>
      <c r="R180" s="247"/>
      <c r="S180" s="247"/>
      <c r="T180" s="247"/>
      <c r="U180" s="26"/>
      <c r="V180" s="247"/>
      <c r="W180" s="247"/>
      <c r="X180" s="247"/>
      <c r="Y180" s="247"/>
      <c r="Z180" s="247"/>
      <c r="AA180" s="26"/>
      <c r="AB180" s="247"/>
      <c r="AC180" s="247"/>
      <c r="AD180" s="247"/>
      <c r="AE180" s="247"/>
      <c r="AF180" s="247"/>
      <c r="AG180" s="26"/>
      <c r="AH180" s="247"/>
    </row>
    <row r="181" spans="1:34" ht="15.75" customHeight="1" x14ac:dyDescent="0.2">
      <c r="A181" s="449"/>
      <c r="B181" s="284"/>
      <c r="C181" s="284" t="s">
        <v>8</v>
      </c>
      <c r="D181" s="272" t="s">
        <v>78</v>
      </c>
      <c r="E181" s="246">
        <v>0</v>
      </c>
      <c r="F181" s="246">
        <v>0</v>
      </c>
      <c r="G181" s="246">
        <v>0</v>
      </c>
      <c r="H181" s="246">
        <v>0</v>
      </c>
      <c r="I181" s="26"/>
      <c r="J181" s="246">
        <v>0</v>
      </c>
      <c r="K181" s="246">
        <v>0</v>
      </c>
      <c r="L181" s="246">
        <v>0</v>
      </c>
      <c r="M181" s="246">
        <v>0</v>
      </c>
      <c r="N181" s="246">
        <v>0</v>
      </c>
      <c r="O181" s="26"/>
      <c r="P181" s="246">
        <v>0</v>
      </c>
      <c r="Q181" s="246">
        <v>0</v>
      </c>
      <c r="R181" s="246">
        <v>0</v>
      </c>
      <c r="S181" s="246">
        <v>0</v>
      </c>
      <c r="T181" s="246">
        <v>0</v>
      </c>
      <c r="U181" s="26"/>
      <c r="V181" s="246">
        <v>0</v>
      </c>
      <c r="W181" s="246">
        <v>0</v>
      </c>
      <c r="X181" s="246">
        <v>0</v>
      </c>
      <c r="Y181" s="246">
        <v>0</v>
      </c>
      <c r="Z181" s="246">
        <v>0</v>
      </c>
      <c r="AA181" s="26"/>
      <c r="AB181" s="246">
        <v>0</v>
      </c>
      <c r="AC181" s="246">
        <v>0</v>
      </c>
      <c r="AD181" s="246">
        <v>0</v>
      </c>
      <c r="AE181" s="246">
        <v>0</v>
      </c>
      <c r="AF181" s="246">
        <v>0</v>
      </c>
      <c r="AG181" s="26"/>
      <c r="AH181" s="246">
        <v>0</v>
      </c>
    </row>
    <row r="182" spans="1:34" ht="15.75" customHeight="1" x14ac:dyDescent="0.2">
      <c r="A182" s="449"/>
      <c r="B182" s="284"/>
      <c r="C182" s="284"/>
      <c r="D182" s="251"/>
      <c r="E182" s="247"/>
      <c r="F182" s="247"/>
      <c r="G182" s="247"/>
      <c r="H182" s="247"/>
      <c r="I182" s="26"/>
      <c r="J182" s="247"/>
      <c r="K182" s="247"/>
      <c r="L182" s="247"/>
      <c r="M182" s="247"/>
      <c r="N182" s="247"/>
      <c r="O182" s="26"/>
      <c r="P182" s="247"/>
      <c r="Q182" s="247"/>
      <c r="R182" s="247"/>
      <c r="S182" s="247"/>
      <c r="T182" s="247"/>
      <c r="U182" s="26"/>
      <c r="V182" s="247"/>
      <c r="W182" s="247"/>
      <c r="X182" s="247"/>
      <c r="Y182" s="247"/>
      <c r="Z182" s="247"/>
      <c r="AA182" s="26"/>
      <c r="AB182" s="247"/>
      <c r="AC182" s="247"/>
      <c r="AD182" s="247"/>
      <c r="AE182" s="247"/>
      <c r="AF182" s="247"/>
      <c r="AG182" s="26"/>
      <c r="AH182" s="247"/>
    </row>
    <row r="183" spans="1:34" ht="26.25" customHeight="1" x14ac:dyDescent="0.2">
      <c r="A183" s="273"/>
      <c r="B183" s="291" t="s">
        <v>89</v>
      </c>
      <c r="C183" s="284" t="s">
        <v>6</v>
      </c>
      <c r="D183" s="272" t="s">
        <v>78</v>
      </c>
      <c r="E183" s="255">
        <v>5.0000000000000001E-3</v>
      </c>
      <c r="F183" s="255">
        <v>5.0000000000000001E-3</v>
      </c>
      <c r="G183" s="255">
        <v>5.0000000000000001E-3</v>
      </c>
      <c r="H183" s="255">
        <v>5.0000000000000001E-3</v>
      </c>
      <c r="I183" s="26"/>
      <c r="J183" s="255">
        <v>5.0000000000000001E-3</v>
      </c>
      <c r="K183" s="255">
        <v>5.0000000000000001E-3</v>
      </c>
      <c r="L183" s="255">
        <v>5.0000000000000001E-3</v>
      </c>
      <c r="M183" s="255">
        <v>5.0000000000000001E-3</v>
      </c>
      <c r="N183" s="255">
        <v>5.0000000000000001E-3</v>
      </c>
      <c r="O183" s="26"/>
      <c r="P183" s="255">
        <v>5.0000000000000001E-3</v>
      </c>
      <c r="Q183" s="255">
        <v>5.0000000000000001E-3</v>
      </c>
      <c r="R183" s="255">
        <v>5.0000000000000001E-3</v>
      </c>
      <c r="S183" s="255">
        <v>5.0000000000000001E-3</v>
      </c>
      <c r="T183" s="255">
        <v>5.0000000000000001E-3</v>
      </c>
      <c r="U183" s="26"/>
      <c r="V183" s="255">
        <v>5.0000000000000001E-3</v>
      </c>
      <c r="W183" s="255">
        <v>5.0000000000000001E-3</v>
      </c>
      <c r="X183" s="255">
        <v>5.0000000000000001E-3</v>
      </c>
      <c r="Y183" s="255">
        <v>5.0000000000000001E-3</v>
      </c>
      <c r="Z183" s="255">
        <v>5.0000000000000001E-3</v>
      </c>
      <c r="AA183" s="26"/>
      <c r="AB183" s="255">
        <v>5.0000000000000001E-3</v>
      </c>
      <c r="AC183" s="255">
        <v>5.0000000000000001E-3</v>
      </c>
      <c r="AD183" s="255">
        <v>5.0000000000000001E-3</v>
      </c>
      <c r="AE183" s="255">
        <v>5.0000000000000001E-3</v>
      </c>
      <c r="AF183" s="255">
        <v>5.0000000000000001E-3</v>
      </c>
      <c r="AG183" s="26"/>
      <c r="AH183" s="255">
        <v>5.0000000000000001E-3</v>
      </c>
    </row>
    <row r="184" spans="1:34" ht="15.75" customHeight="1" x14ac:dyDescent="0.2">
      <c r="A184" s="449"/>
      <c r="B184" s="291"/>
      <c r="C184" s="284"/>
      <c r="D184" s="251"/>
      <c r="E184" s="258"/>
      <c r="F184" s="258"/>
      <c r="G184" s="258"/>
      <c r="H184" s="258"/>
      <c r="I184" s="26"/>
      <c r="J184" s="258"/>
      <c r="K184" s="258"/>
      <c r="L184" s="258"/>
      <c r="M184" s="258"/>
      <c r="N184" s="258"/>
      <c r="O184" s="26"/>
      <c r="P184" s="258"/>
      <c r="Q184" s="258"/>
      <c r="R184" s="258"/>
      <c r="S184" s="258"/>
      <c r="T184" s="258"/>
      <c r="U184" s="26"/>
      <c r="V184" s="258"/>
      <c r="W184" s="258"/>
      <c r="X184" s="258"/>
      <c r="Y184" s="258"/>
      <c r="Z184" s="258"/>
      <c r="AA184" s="26"/>
      <c r="AB184" s="258"/>
      <c r="AC184" s="258"/>
      <c r="AD184" s="258"/>
      <c r="AE184" s="258"/>
      <c r="AF184" s="258"/>
      <c r="AG184" s="26"/>
      <c r="AH184" s="258"/>
    </row>
    <row r="185" spans="1:34" ht="15.75" customHeight="1" x14ac:dyDescent="0.2">
      <c r="A185" s="449"/>
      <c r="B185" s="291"/>
      <c r="C185" s="284" t="s">
        <v>7</v>
      </c>
      <c r="D185" s="272" t="s">
        <v>78</v>
      </c>
      <c r="E185" s="246">
        <v>0.01</v>
      </c>
      <c r="F185" s="246">
        <v>0.01</v>
      </c>
      <c r="G185" s="246">
        <v>0.01</v>
      </c>
      <c r="H185" s="246">
        <v>0.01</v>
      </c>
      <c r="I185" s="26"/>
      <c r="J185" s="246">
        <v>0.01</v>
      </c>
      <c r="K185" s="246">
        <v>0.01</v>
      </c>
      <c r="L185" s="246">
        <v>0.01</v>
      </c>
      <c r="M185" s="246">
        <v>0.01</v>
      </c>
      <c r="N185" s="246">
        <v>0.01</v>
      </c>
      <c r="O185" s="26"/>
      <c r="P185" s="246">
        <v>0.01</v>
      </c>
      <c r="Q185" s="246">
        <v>0.01</v>
      </c>
      <c r="R185" s="246">
        <v>0.01</v>
      </c>
      <c r="S185" s="246">
        <v>0.01</v>
      </c>
      <c r="T185" s="246">
        <v>0.01</v>
      </c>
      <c r="U185" s="26"/>
      <c r="V185" s="246">
        <v>0.01</v>
      </c>
      <c r="W185" s="246">
        <v>0.01</v>
      </c>
      <c r="X185" s="246">
        <v>0.01</v>
      </c>
      <c r="Y185" s="246">
        <v>0.01</v>
      </c>
      <c r="Z185" s="246">
        <v>0.01</v>
      </c>
      <c r="AA185" s="26"/>
      <c r="AB185" s="246">
        <v>0.01</v>
      </c>
      <c r="AC185" s="246">
        <v>0.01</v>
      </c>
      <c r="AD185" s="246">
        <v>0.01</v>
      </c>
      <c r="AE185" s="246">
        <v>0.01</v>
      </c>
      <c r="AF185" s="246">
        <v>0.01</v>
      </c>
      <c r="AG185" s="26"/>
      <c r="AH185" s="246">
        <v>0.01</v>
      </c>
    </row>
    <row r="186" spans="1:34" ht="15.75" customHeight="1" x14ac:dyDescent="0.2">
      <c r="A186" s="449"/>
      <c r="B186" s="291"/>
      <c r="C186" s="284"/>
      <c r="D186" s="251"/>
      <c r="E186" s="247"/>
      <c r="F186" s="247"/>
      <c r="G186" s="247"/>
      <c r="H186" s="247"/>
      <c r="I186" s="26"/>
      <c r="J186" s="247"/>
      <c r="K186" s="247"/>
      <c r="L186" s="247"/>
      <c r="M186" s="247"/>
      <c r="N186" s="247"/>
      <c r="O186" s="26"/>
      <c r="P186" s="247"/>
      <c r="Q186" s="247"/>
      <c r="R186" s="247"/>
      <c r="S186" s="247"/>
      <c r="T186" s="247"/>
      <c r="U186" s="26"/>
      <c r="V186" s="247"/>
      <c r="W186" s="247"/>
      <c r="X186" s="247"/>
      <c r="Y186" s="247"/>
      <c r="Z186" s="247"/>
      <c r="AA186" s="26"/>
      <c r="AB186" s="247"/>
      <c r="AC186" s="247"/>
      <c r="AD186" s="247"/>
      <c r="AE186" s="247"/>
      <c r="AF186" s="247"/>
      <c r="AG186" s="26"/>
      <c r="AH186" s="247"/>
    </row>
    <row r="187" spans="1:34" ht="15.75" customHeight="1" x14ac:dyDescent="0.2">
      <c r="A187" s="449"/>
      <c r="B187" s="291"/>
      <c r="C187" s="284" t="s">
        <v>8</v>
      </c>
      <c r="D187" s="272" t="s">
        <v>78</v>
      </c>
      <c r="E187" s="246">
        <v>0.01</v>
      </c>
      <c r="F187" s="246">
        <v>0.01</v>
      </c>
      <c r="G187" s="246">
        <v>0.01</v>
      </c>
      <c r="H187" s="246">
        <v>0.01</v>
      </c>
      <c r="I187" s="26"/>
      <c r="J187" s="246">
        <v>0.01</v>
      </c>
      <c r="K187" s="246">
        <v>0.01</v>
      </c>
      <c r="L187" s="246">
        <v>0.01</v>
      </c>
      <c r="M187" s="246">
        <v>0.01</v>
      </c>
      <c r="N187" s="246">
        <v>0.01</v>
      </c>
      <c r="O187" s="26"/>
      <c r="P187" s="246">
        <v>0.01</v>
      </c>
      <c r="Q187" s="246">
        <v>0.01</v>
      </c>
      <c r="R187" s="246">
        <v>0.01</v>
      </c>
      <c r="S187" s="246">
        <v>0.01</v>
      </c>
      <c r="T187" s="246">
        <v>0.01</v>
      </c>
      <c r="U187" s="26"/>
      <c r="V187" s="246">
        <v>0.01</v>
      </c>
      <c r="W187" s="246">
        <v>0.01</v>
      </c>
      <c r="X187" s="246">
        <v>0.01</v>
      </c>
      <c r="Y187" s="246">
        <v>0.01</v>
      </c>
      <c r="Z187" s="246">
        <v>0.01</v>
      </c>
      <c r="AA187" s="26"/>
      <c r="AB187" s="246">
        <v>0.01</v>
      </c>
      <c r="AC187" s="246">
        <v>0.01</v>
      </c>
      <c r="AD187" s="246">
        <v>0.01</v>
      </c>
      <c r="AE187" s="246">
        <v>0.01</v>
      </c>
      <c r="AF187" s="246">
        <v>0.01</v>
      </c>
      <c r="AG187" s="26"/>
      <c r="AH187" s="246">
        <v>0.01</v>
      </c>
    </row>
    <row r="188" spans="1:34" ht="15.75" customHeight="1" x14ac:dyDescent="0.2">
      <c r="A188" s="449"/>
      <c r="B188" s="291"/>
      <c r="C188" s="284"/>
      <c r="D188" s="251"/>
      <c r="E188" s="247"/>
      <c r="F188" s="247"/>
      <c r="G188" s="247"/>
      <c r="H188" s="247"/>
      <c r="I188" s="26"/>
      <c r="J188" s="247"/>
      <c r="K188" s="247"/>
      <c r="L188" s="247"/>
      <c r="M188" s="247"/>
      <c r="N188" s="247"/>
      <c r="O188" s="26"/>
      <c r="P188" s="247"/>
      <c r="Q188" s="247"/>
      <c r="R188" s="247"/>
      <c r="S188" s="247"/>
      <c r="T188" s="247"/>
      <c r="U188" s="26"/>
      <c r="V188" s="247"/>
      <c r="W188" s="247"/>
      <c r="X188" s="247"/>
      <c r="Y188" s="247"/>
      <c r="Z188" s="247"/>
      <c r="AA188" s="26"/>
      <c r="AB188" s="247"/>
      <c r="AC188" s="247"/>
      <c r="AD188" s="247"/>
      <c r="AE188" s="247"/>
      <c r="AF188" s="247"/>
      <c r="AG188" s="26"/>
      <c r="AH188" s="247"/>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v>0.69469999999999998</v>
      </c>
      <c r="F196" s="254">
        <v>0.69469999999999998</v>
      </c>
      <c r="G196" s="254">
        <v>0.69469999999999998</v>
      </c>
      <c r="H196" s="254">
        <v>0.69469999999999998</v>
      </c>
      <c r="I196" s="45"/>
      <c r="J196" s="254">
        <v>0.69469999999999998</v>
      </c>
      <c r="K196" s="254">
        <v>0.67469999999999997</v>
      </c>
      <c r="L196" s="254">
        <v>0.67469999999999997</v>
      </c>
      <c r="M196" s="254">
        <v>0.67469999999999997</v>
      </c>
      <c r="N196" s="254">
        <v>0.67469999999999997</v>
      </c>
      <c r="O196" s="45"/>
      <c r="P196" s="254">
        <v>0.67469999999999997</v>
      </c>
      <c r="Q196" s="254">
        <v>0.65469999999999995</v>
      </c>
      <c r="R196" s="254">
        <v>0.65469999999999995</v>
      </c>
      <c r="S196" s="254">
        <v>0.65469999999999995</v>
      </c>
      <c r="T196" s="254">
        <v>0.65469999999999995</v>
      </c>
      <c r="U196" s="45"/>
      <c r="V196" s="254">
        <v>0.65469999999999995</v>
      </c>
      <c r="W196" s="254">
        <v>0.63470000000000004</v>
      </c>
      <c r="X196" s="254">
        <v>0.63470000000000004</v>
      </c>
      <c r="Y196" s="254">
        <v>0.63470000000000004</v>
      </c>
      <c r="Z196" s="254">
        <v>0.63470000000000004</v>
      </c>
      <c r="AA196" s="45"/>
      <c r="AB196" s="254">
        <v>0.63470000000000004</v>
      </c>
      <c r="AC196" s="254">
        <v>0.26300000000000001</v>
      </c>
      <c r="AD196" s="254">
        <v>0.26300000000000001</v>
      </c>
      <c r="AE196" s="254">
        <v>0.26300000000000001</v>
      </c>
      <c r="AF196" s="254">
        <v>0.26300000000000001</v>
      </c>
      <c r="AG196" s="29"/>
      <c r="AH196" s="254">
        <v>0.26300000000000001</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16.707/(16.707+0.742+2.307)</f>
        <v>0.84566713909698321</v>
      </c>
      <c r="X198" s="252">
        <f>16.707/(16.707+0.742+2.307)</f>
        <v>0.84566713909698321</v>
      </c>
      <c r="Y198" s="252">
        <f>16.707/(16.707+0.742+2.307)</f>
        <v>0.84566713909698321</v>
      </c>
      <c r="Z198" s="252">
        <f>16.707/(16.707+0.742+2.307)</f>
        <v>0.84566713909698321</v>
      </c>
      <c r="AA198" s="19"/>
      <c r="AB198" s="252">
        <f>16.707/(16.707+0.742+2.307)</f>
        <v>0.84566713909698321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0.35</v>
      </c>
      <c r="F200" s="250">
        <v>0.35</v>
      </c>
      <c r="G200" s="250">
        <v>0.35</v>
      </c>
      <c r="H200" s="250">
        <v>0.35</v>
      </c>
      <c r="I200" s="26"/>
      <c r="J200" s="250">
        <v>0.35</v>
      </c>
      <c r="K200" s="250">
        <v>0.35</v>
      </c>
      <c r="L200" s="250">
        <v>0.35</v>
      </c>
      <c r="M200" s="250">
        <v>0.35</v>
      </c>
      <c r="N200" s="250">
        <v>0.35</v>
      </c>
      <c r="O200" s="26"/>
      <c r="P200" s="250">
        <v>0.35</v>
      </c>
      <c r="Q200" s="250">
        <v>0.35</v>
      </c>
      <c r="R200" s="250">
        <v>0.35</v>
      </c>
      <c r="S200" s="250">
        <v>0.35</v>
      </c>
      <c r="T200" s="250">
        <v>0.35</v>
      </c>
      <c r="U200" s="26"/>
      <c r="V200" s="250">
        <v>0.35</v>
      </c>
      <c r="W200" s="250">
        <v>0.35</v>
      </c>
      <c r="X200" s="250">
        <v>0.35</v>
      </c>
      <c r="Y200" s="250">
        <v>0.35</v>
      </c>
      <c r="Z200" s="250">
        <v>0.35</v>
      </c>
      <c r="AA200" s="26"/>
      <c r="AB200" s="250">
        <v>0.35</v>
      </c>
      <c r="AC200" s="250">
        <v>0.35</v>
      </c>
      <c r="AD200" s="250">
        <v>0.35</v>
      </c>
      <c r="AE200" s="250">
        <v>0.35</v>
      </c>
      <c r="AF200" s="250">
        <v>0.35</v>
      </c>
      <c r="AG200" s="26"/>
      <c r="AH200" s="250">
        <v>0.35</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50">
        <v>100</v>
      </c>
      <c r="R202" s="250">
        <v>100</v>
      </c>
      <c r="S202" s="250">
        <v>100</v>
      </c>
      <c r="T202" s="250">
        <v>100</v>
      </c>
      <c r="U202" s="26"/>
      <c r="V202" s="250">
        <v>100</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51"/>
      <c r="R203" s="251"/>
      <c r="S203" s="251"/>
      <c r="T203" s="251"/>
      <c r="U203" s="26"/>
      <c r="V203" s="251"/>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34.200000000000003" customHeight="1" x14ac:dyDescent="0.2">
      <c r="A208" s="289"/>
      <c r="B208" s="288" t="s">
        <v>130</v>
      </c>
      <c r="C208" s="288"/>
      <c r="D208" s="273" t="s">
        <v>78</v>
      </c>
      <c r="E208" s="249">
        <f>16.707/35.1</f>
        <v>0.47598290598290599</v>
      </c>
      <c r="F208" s="249">
        <f>16.707/35.1</f>
        <v>0.47598290598290599</v>
      </c>
      <c r="G208" s="249">
        <f>16.707/35.1</f>
        <v>0.47598290598290599</v>
      </c>
      <c r="H208" s="249">
        <f>16.707/35.1</f>
        <v>0.47598290598290599</v>
      </c>
      <c r="I208" s="19"/>
      <c r="J208" s="249">
        <f>16.707/35.1</f>
        <v>0.47598290598290599</v>
      </c>
      <c r="K208" s="249">
        <f>16.707/35.1</f>
        <v>0.47598290598290599</v>
      </c>
      <c r="L208" s="249">
        <f>16.707/35.1</f>
        <v>0.47598290598290599</v>
      </c>
      <c r="M208" s="249">
        <f>16.707/35.1</f>
        <v>0.47598290598290599</v>
      </c>
      <c r="N208" s="249">
        <f>16.707/35.1</f>
        <v>0.47598290598290599</v>
      </c>
      <c r="O208" s="19"/>
      <c r="P208" s="249">
        <f>16.707/35.1</f>
        <v>0.47598290598290599</v>
      </c>
      <c r="Q208" s="249">
        <f>K208</f>
        <v>0.47598290598290599</v>
      </c>
      <c r="R208" s="249">
        <f>L208</f>
        <v>0.47598290598290599</v>
      </c>
      <c r="S208" s="249">
        <f>M208</f>
        <v>0.47598290598290599</v>
      </c>
      <c r="T208" s="249">
        <f>N208</f>
        <v>0.47598290598290599</v>
      </c>
      <c r="U208" s="19"/>
      <c r="V208" s="249">
        <f>P208</f>
        <v>0.47598290598290599</v>
      </c>
      <c r="W208" s="249">
        <f>(16.707+2.307)/35.1</f>
        <v>0.54170940170940163</v>
      </c>
      <c r="X208" s="249">
        <f>(16.707+2.307)/35.1</f>
        <v>0.54170940170940163</v>
      </c>
      <c r="Y208" s="249">
        <f>(16.707+2.307)/35.1</f>
        <v>0.54170940170940163</v>
      </c>
      <c r="Z208" s="249">
        <f>(16.707+2.307)/35.1</f>
        <v>0.54170940170940163</v>
      </c>
      <c r="AA208" s="19"/>
      <c r="AB208" s="249">
        <f>(16.707+2.307)/35.1</f>
        <v>0.54170940170940163</v>
      </c>
      <c r="AC208" s="249">
        <f>(16.707+2.307)/35.1</f>
        <v>0.54170940170940163</v>
      </c>
      <c r="AD208" s="249">
        <f>(16.707+2.307)/35.1</f>
        <v>0.54170940170940163</v>
      </c>
      <c r="AE208" s="249">
        <f>(16.707+2.307)/35.1</f>
        <v>0.54170940170940163</v>
      </c>
      <c r="AF208" s="249">
        <f>(16.707+2.307)/35.1</f>
        <v>0.54170940170940163</v>
      </c>
      <c r="AG208" s="19"/>
      <c r="AH208" s="249">
        <f>(16.707+2.307)/35.1</f>
        <v>0.54170940170940163</v>
      </c>
    </row>
    <row r="209" spans="1:34" ht="21.6"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31.2" customHeight="1" x14ac:dyDescent="0.2">
      <c r="A210" s="289"/>
      <c r="B210" s="284" t="s">
        <v>131</v>
      </c>
      <c r="C210" s="284"/>
      <c r="D210" s="273" t="s">
        <v>78</v>
      </c>
      <c r="E210" s="249">
        <f>2669/2669</f>
        <v>1</v>
      </c>
      <c r="F210" s="249">
        <f>2669/2669</f>
        <v>1</v>
      </c>
      <c r="G210" s="249">
        <f>2669/2669</f>
        <v>1</v>
      </c>
      <c r="H210" s="249">
        <f>2669/2669</f>
        <v>1</v>
      </c>
      <c r="I210" s="29"/>
      <c r="J210" s="249">
        <f>2669/2669</f>
        <v>1</v>
      </c>
      <c r="K210" s="249">
        <f>2669/2669</f>
        <v>1</v>
      </c>
      <c r="L210" s="249">
        <f>2669/2669</f>
        <v>1</v>
      </c>
      <c r="M210" s="249">
        <f>2669/2669</f>
        <v>1</v>
      </c>
      <c r="N210" s="249">
        <f>2669/2669</f>
        <v>1</v>
      </c>
      <c r="O210" s="2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23.4" customHeight="1" x14ac:dyDescent="0.2">
      <c r="A211" s="289"/>
      <c r="B211" s="284"/>
      <c r="C211" s="284"/>
      <c r="D211" s="273"/>
      <c r="E211" s="249"/>
      <c r="F211" s="249"/>
      <c r="G211" s="249"/>
      <c r="H211" s="249"/>
      <c r="I211" s="29"/>
      <c r="J211" s="249"/>
      <c r="K211" s="249"/>
      <c r="L211" s="249"/>
      <c r="M211" s="249"/>
      <c r="N211" s="249"/>
      <c r="O211" s="29"/>
      <c r="P211" s="249"/>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24" customHeight="1" x14ac:dyDescent="0.2">
      <c r="A213" s="289"/>
      <c r="B213" s="284" t="s">
        <v>43</v>
      </c>
      <c r="C213" s="284"/>
      <c r="D213" s="273" t="s">
        <v>78</v>
      </c>
      <c r="E213" s="249">
        <f>10.177/35.1</f>
        <v>0.28994301994301991</v>
      </c>
      <c r="F213" s="249">
        <f>10.177/35.1</f>
        <v>0.28994301994301991</v>
      </c>
      <c r="G213" s="249">
        <f>10.177/35.1</f>
        <v>0.28994301994301991</v>
      </c>
      <c r="H213" s="249">
        <f>10.177/35.1</f>
        <v>0.28994301994301991</v>
      </c>
      <c r="I213" s="19"/>
      <c r="J213" s="249">
        <f>10.177/35.1</f>
        <v>0.28994301994301991</v>
      </c>
      <c r="K213" s="249">
        <f>10.177/35.1</f>
        <v>0.28994301994301991</v>
      </c>
      <c r="L213" s="249">
        <f>10.177/35.1</f>
        <v>0.28994301994301991</v>
      </c>
      <c r="M213" s="249">
        <f>10.177/35.1</f>
        <v>0.28994301994301991</v>
      </c>
      <c r="N213" s="249">
        <f>10.177/35.1</f>
        <v>0.28994301994301991</v>
      </c>
      <c r="O213" s="19"/>
      <c r="P213" s="249">
        <f>10.177/35.1</f>
        <v>0.28994301994301991</v>
      </c>
      <c r="Q213" s="249">
        <f>10.177/35.1</f>
        <v>0.28994301994301991</v>
      </c>
      <c r="R213" s="249">
        <f>10.177/35.1</f>
        <v>0.28994301994301991</v>
      </c>
      <c r="S213" s="249">
        <f>10.177/35.1</f>
        <v>0.28994301994301991</v>
      </c>
      <c r="T213" s="249">
        <f>10.177/35.1</f>
        <v>0.28994301994301991</v>
      </c>
      <c r="U213" s="19"/>
      <c r="V213" s="249">
        <f>10.177/35.1</f>
        <v>0.28994301994301991</v>
      </c>
      <c r="W213" s="249">
        <f>(10.177+0.779+19.281)/35.1</f>
        <v>0.86145299145299137</v>
      </c>
      <c r="X213" s="249">
        <f>(10.177+0.779+19.281)/35.1</f>
        <v>0.86145299145299137</v>
      </c>
      <c r="Y213" s="249">
        <f>(10.177+0.779+19.281)/35.1</f>
        <v>0.86145299145299137</v>
      </c>
      <c r="Z213" s="249">
        <f>(10.177+0.779+19.281)/35.1</f>
        <v>0.86145299145299137</v>
      </c>
      <c r="AA213" s="19"/>
      <c r="AB213" s="249">
        <f>(10.177+0.779+19.281)/35.1</f>
        <v>0.86145299145299137</v>
      </c>
      <c r="AC213" s="249">
        <f>(10.177+0.779+19.281)/35.1</f>
        <v>0.86145299145299137</v>
      </c>
      <c r="AD213" s="249">
        <f>(10.177+0.779+19.281)/35.1</f>
        <v>0.86145299145299137</v>
      </c>
      <c r="AE213" s="249">
        <f>(10.177+0.779+19.281)/35.1</f>
        <v>0.86145299145299137</v>
      </c>
      <c r="AF213" s="249">
        <f>(10.177+0.779+19.281)/35.1</f>
        <v>0.86145299145299137</v>
      </c>
      <c r="AG213" s="19"/>
      <c r="AH213" s="249">
        <f>(10.177+0.779+19.281)/35.1</f>
        <v>0.86145299145299137</v>
      </c>
    </row>
    <row r="214" spans="1:34" ht="22.2" customHeight="1"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21"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(10.177+7.168+0.879)/35.1</f>
        <v>0.51920227920227924</v>
      </c>
      <c r="X215" s="249">
        <f>(10.177+7.168+0.879)/35.1</f>
        <v>0.51920227920227924</v>
      </c>
      <c r="Y215" s="249">
        <f>(10.177+7.168+0.879)/35.1</f>
        <v>0.51920227920227924</v>
      </c>
      <c r="Z215" s="249">
        <f>(10.177+7.168+0.879)/35.1</f>
        <v>0.51920227920227924</v>
      </c>
      <c r="AA215" s="19"/>
      <c r="AB215" s="249">
        <f>(10.177+7.168+0.879)/35.1</f>
        <v>0.51920227920227924</v>
      </c>
      <c r="AC215" s="249">
        <v>1</v>
      </c>
      <c r="AD215" s="249">
        <v>1</v>
      </c>
      <c r="AE215" s="249">
        <v>1</v>
      </c>
      <c r="AF215" s="249">
        <v>1</v>
      </c>
      <c r="AG215" s="19"/>
      <c r="AH215" s="249">
        <v>1</v>
      </c>
    </row>
    <row r="216" spans="1:34" ht="38.4"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38.4" customHeight="1" x14ac:dyDescent="0.2">
      <c r="A217" s="289"/>
      <c r="B217" s="284" t="s">
        <v>153</v>
      </c>
      <c r="C217" s="284"/>
      <c r="D217" s="25" t="s">
        <v>100</v>
      </c>
      <c r="E217" s="250">
        <v>0.4</v>
      </c>
      <c r="F217" s="250">
        <v>0.4</v>
      </c>
      <c r="G217" s="250">
        <v>0.4</v>
      </c>
      <c r="H217" s="250">
        <v>0.4</v>
      </c>
      <c r="I217" s="26"/>
      <c r="J217" s="250">
        <v>0.4</v>
      </c>
      <c r="K217" s="250">
        <v>0.4</v>
      </c>
      <c r="L217" s="250">
        <v>0.4</v>
      </c>
      <c r="M217" s="250">
        <v>0.4</v>
      </c>
      <c r="N217" s="250">
        <v>0.4</v>
      </c>
      <c r="O217" s="26"/>
      <c r="P217" s="250">
        <v>0.4</v>
      </c>
      <c r="Q217" s="250">
        <v>0.4</v>
      </c>
      <c r="R217" s="250">
        <v>0.4</v>
      </c>
      <c r="S217" s="250">
        <v>0.4</v>
      </c>
      <c r="T217" s="250">
        <v>0.4</v>
      </c>
      <c r="U217" s="26"/>
      <c r="V217" s="250">
        <v>0.4</v>
      </c>
      <c r="W217" s="250">
        <v>0.4</v>
      </c>
      <c r="X217" s="250">
        <v>0.4</v>
      </c>
      <c r="Y217" s="250">
        <v>0.4</v>
      </c>
      <c r="Z217" s="250">
        <v>0.4</v>
      </c>
      <c r="AA217" s="26"/>
      <c r="AB217" s="250">
        <v>0.4</v>
      </c>
      <c r="AC217" s="250">
        <v>0.4</v>
      </c>
      <c r="AD217" s="250">
        <v>0.4</v>
      </c>
      <c r="AE217" s="250">
        <v>0.4</v>
      </c>
      <c r="AF217" s="250">
        <v>0.4</v>
      </c>
      <c r="AG217" s="26"/>
      <c r="AH217" s="250">
        <v>0.4</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2"/>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2"/>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18">
        <v>1</v>
      </c>
      <c r="C224" s="22">
        <v>2</v>
      </c>
      <c r="D224" s="22">
        <v>3</v>
      </c>
      <c r="E224" s="22" t="s">
        <v>106</v>
      </c>
      <c r="F224" s="22" t="s">
        <v>107</v>
      </c>
      <c r="G224" s="22" t="s">
        <v>108</v>
      </c>
      <c r="H224" s="22" t="s">
        <v>109</v>
      </c>
      <c r="I224" s="22" t="s">
        <v>110</v>
      </c>
      <c r="J224" s="22"/>
      <c r="K224" s="22" t="s">
        <v>106</v>
      </c>
      <c r="L224" s="22" t="s">
        <v>107</v>
      </c>
      <c r="M224" s="22" t="s">
        <v>108</v>
      </c>
      <c r="N224" s="22" t="s">
        <v>109</v>
      </c>
      <c r="O224" s="22" t="s">
        <v>110</v>
      </c>
      <c r="P224" s="22"/>
      <c r="Q224" s="22" t="s">
        <v>106</v>
      </c>
      <c r="R224" s="22" t="s">
        <v>107</v>
      </c>
      <c r="S224" s="22" t="s">
        <v>108</v>
      </c>
      <c r="T224" s="22" t="s">
        <v>109</v>
      </c>
      <c r="U224" s="22" t="s">
        <v>110</v>
      </c>
      <c r="V224" s="22"/>
      <c r="W224" s="22"/>
      <c r="X224" s="22"/>
      <c r="Y224" s="22" t="s">
        <v>108</v>
      </c>
      <c r="Z224" s="22" t="s">
        <v>109</v>
      </c>
      <c r="AA224" s="22" t="s">
        <v>110</v>
      </c>
      <c r="AB224" s="22"/>
      <c r="AC224" s="22" t="s">
        <v>106</v>
      </c>
      <c r="AD224" s="22" t="s">
        <v>107</v>
      </c>
      <c r="AE224" s="22" t="s">
        <v>108</v>
      </c>
      <c r="AF224" s="22" t="s">
        <v>109</v>
      </c>
      <c r="AG224" s="22" t="s">
        <v>110</v>
      </c>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30.75" customHeight="1" x14ac:dyDescent="0.2">
      <c r="A226" s="289"/>
      <c r="B226" s="284" t="s">
        <v>45</v>
      </c>
      <c r="C226" s="284"/>
      <c r="D226" s="25" t="s">
        <v>101</v>
      </c>
      <c r="E226" s="23">
        <v>897</v>
      </c>
      <c r="F226" s="23">
        <v>900</v>
      </c>
      <c r="G226" s="23">
        <v>902</v>
      </c>
      <c r="H226" s="23">
        <v>905</v>
      </c>
      <c r="I226" s="41"/>
      <c r="J226" s="41">
        <v>905</v>
      </c>
      <c r="K226" s="23">
        <v>908</v>
      </c>
      <c r="L226" s="23">
        <v>911</v>
      </c>
      <c r="M226" s="23">
        <v>913</v>
      </c>
      <c r="N226" s="23">
        <v>916</v>
      </c>
      <c r="O226" s="41"/>
      <c r="P226" s="41">
        <v>916</v>
      </c>
      <c r="Q226" s="23">
        <v>919</v>
      </c>
      <c r="R226" s="23">
        <v>922</v>
      </c>
      <c r="S226" s="23">
        <v>924</v>
      </c>
      <c r="T226" s="23">
        <v>927</v>
      </c>
      <c r="U226" s="23"/>
      <c r="V226" s="41">
        <v>927</v>
      </c>
      <c r="W226" s="23">
        <v>935</v>
      </c>
      <c r="X226" s="23">
        <v>942</v>
      </c>
      <c r="Y226" s="23">
        <v>950</v>
      </c>
      <c r="Z226" s="23">
        <v>957</v>
      </c>
      <c r="AA226" s="41"/>
      <c r="AB226" s="93">
        <v>957</v>
      </c>
      <c r="AC226" s="23">
        <v>955</v>
      </c>
      <c r="AD226" s="23">
        <v>956</v>
      </c>
      <c r="AE226" s="23">
        <v>956</v>
      </c>
      <c r="AF226" s="23">
        <v>957</v>
      </c>
      <c r="AG226" s="41"/>
      <c r="AH226" s="93">
        <v>957</v>
      </c>
    </row>
    <row r="227" spans="1:34" x14ac:dyDescent="0.2">
      <c r="A227" s="289"/>
      <c r="B227" s="284"/>
      <c r="C227" s="284"/>
      <c r="D227" s="25" t="s">
        <v>32</v>
      </c>
      <c r="E227" s="26">
        <v>16.707000000000001</v>
      </c>
      <c r="F227" s="26">
        <v>16.707000000000001</v>
      </c>
      <c r="G227" s="26">
        <v>16.707000000000001</v>
      </c>
      <c r="H227" s="26">
        <v>16.707000000000001</v>
      </c>
      <c r="I227" s="26"/>
      <c r="J227" s="26">
        <v>16.707000000000001</v>
      </c>
      <c r="K227" s="26">
        <v>16.707000000000001</v>
      </c>
      <c r="L227" s="26">
        <v>16.707000000000001</v>
      </c>
      <c r="M227" s="26">
        <v>16.707000000000001</v>
      </c>
      <c r="N227" s="26">
        <v>16.707000000000001</v>
      </c>
      <c r="O227" s="26"/>
      <c r="P227" s="26">
        <v>16.707000000000001</v>
      </c>
      <c r="Q227" s="26">
        <v>16.707000000000001</v>
      </c>
      <c r="R227" s="26">
        <v>16.707000000000001</v>
      </c>
      <c r="S227" s="26">
        <v>16.707000000000001</v>
      </c>
      <c r="T227" s="26">
        <v>16.707000000000001</v>
      </c>
      <c r="U227" s="44"/>
      <c r="V227" s="26">
        <v>16.707000000000001</v>
      </c>
      <c r="W227" s="44">
        <v>19.013999999999999</v>
      </c>
      <c r="X227" s="44">
        <v>19.013999999999999</v>
      </c>
      <c r="Y227" s="44">
        <v>19.013999999999999</v>
      </c>
      <c r="Z227" s="44">
        <v>19.013999999999999</v>
      </c>
      <c r="AA227" s="26"/>
      <c r="AB227" s="26">
        <f>V227+2.307</f>
        <v>19.013999999999999</v>
      </c>
      <c r="AC227" s="26">
        <v>19.013999999999999</v>
      </c>
      <c r="AD227" s="26">
        <v>19.013999999999999</v>
      </c>
      <c r="AE227" s="26">
        <v>19.013999999999999</v>
      </c>
      <c r="AF227" s="26">
        <v>19.013999999999999</v>
      </c>
      <c r="AG227" s="26"/>
      <c r="AH227" s="58">
        <f>AB227</f>
        <v>19.013999999999999</v>
      </c>
    </row>
    <row r="228" spans="1:34" ht="27" customHeight="1" x14ac:dyDescent="0.2">
      <c r="A228" s="289"/>
      <c r="B228" s="284" t="s">
        <v>46</v>
      </c>
      <c r="C228" s="284"/>
      <c r="D228" s="25" t="s">
        <v>32</v>
      </c>
      <c r="E228" s="26">
        <v>16.707000000000001</v>
      </c>
      <c r="F228" s="26">
        <v>16.707000000000001</v>
      </c>
      <c r="G228" s="26">
        <v>16.707000000000001</v>
      </c>
      <c r="H228" s="26">
        <v>16.707000000000001</v>
      </c>
      <c r="I228" s="26"/>
      <c r="J228" s="26">
        <v>16.707000000000001</v>
      </c>
      <c r="K228" s="26">
        <v>16.707000000000001</v>
      </c>
      <c r="L228" s="26">
        <v>16.707000000000001</v>
      </c>
      <c r="M228" s="26">
        <v>16.707000000000001</v>
      </c>
      <c r="N228" s="26">
        <v>16.707000000000001</v>
      </c>
      <c r="O228" s="26"/>
      <c r="P228" s="26">
        <v>16.707000000000001</v>
      </c>
      <c r="Q228" s="26">
        <v>16.707000000000001</v>
      </c>
      <c r="R228" s="26">
        <v>16.707000000000001</v>
      </c>
      <c r="S228" s="26">
        <v>16.707000000000001</v>
      </c>
      <c r="T228" s="26">
        <v>16.707000000000001</v>
      </c>
      <c r="U228" s="44"/>
      <c r="V228" s="26">
        <v>16.707000000000001</v>
      </c>
      <c r="W228" s="44">
        <v>19.013999999999999</v>
      </c>
      <c r="X228" s="44">
        <v>19.013999999999999</v>
      </c>
      <c r="Y228" s="44">
        <v>19.013999999999999</v>
      </c>
      <c r="Z228" s="44">
        <v>19.013999999999999</v>
      </c>
      <c r="AA228" s="26"/>
      <c r="AB228" s="26">
        <f>V228+2.307</f>
        <v>19.013999999999999</v>
      </c>
      <c r="AC228" s="26">
        <v>19.013999999999999</v>
      </c>
      <c r="AD228" s="26">
        <v>19.013999999999999</v>
      </c>
      <c r="AE228" s="26">
        <v>19.013999999999999</v>
      </c>
      <c r="AF228" s="26">
        <v>19.013999999999999</v>
      </c>
      <c r="AG228" s="26"/>
      <c r="AH228" s="58">
        <f>AB228</f>
        <v>19.013999999999999</v>
      </c>
    </row>
    <row r="229" spans="1:34" x14ac:dyDescent="0.2">
      <c r="A229" s="289"/>
      <c r="B229" s="284"/>
      <c r="C229" s="284"/>
      <c r="D229" s="25" t="s">
        <v>143</v>
      </c>
      <c r="E229" s="24">
        <v>2224.5300000000002</v>
      </c>
      <c r="F229" s="24">
        <v>2258.2199999999998</v>
      </c>
      <c r="G229" s="24">
        <v>2291.91</v>
      </c>
      <c r="H229" s="24">
        <v>2325.6</v>
      </c>
      <c r="I229" s="41"/>
      <c r="J229" s="41">
        <v>2325.6</v>
      </c>
      <c r="K229" s="24">
        <v>2359.29</v>
      </c>
      <c r="L229" s="24">
        <v>2392.98</v>
      </c>
      <c r="M229" s="24">
        <v>2426.67</v>
      </c>
      <c r="N229" s="24">
        <v>2460.36</v>
      </c>
      <c r="O229" s="41"/>
      <c r="P229" s="41">
        <v>2460.36</v>
      </c>
      <c r="Q229" s="24">
        <v>2494.4899999999998</v>
      </c>
      <c r="R229" s="24">
        <v>2528.62</v>
      </c>
      <c r="S229" s="24">
        <v>2562.75</v>
      </c>
      <c r="T229" s="24">
        <v>2596.88</v>
      </c>
      <c r="U229" s="24"/>
      <c r="V229" s="41">
        <v>2596.88</v>
      </c>
      <c r="W229" s="24">
        <v>2616.585</v>
      </c>
      <c r="X229" s="24">
        <v>2636.29</v>
      </c>
      <c r="Y229" s="24">
        <v>2655.9949999999999</v>
      </c>
      <c r="Z229" s="24">
        <v>2675.7</v>
      </c>
      <c r="AA229" s="41"/>
      <c r="AB229" s="41">
        <v>2675.7</v>
      </c>
      <c r="AC229" s="24">
        <v>2715.0925000000002</v>
      </c>
      <c r="AD229" s="24">
        <v>2754.4850000000001</v>
      </c>
      <c r="AE229" s="24">
        <v>2793.8775000000001</v>
      </c>
      <c r="AF229" s="24">
        <v>2833.27</v>
      </c>
      <c r="AG229" s="41"/>
      <c r="AH229" s="41">
        <v>2833.27</v>
      </c>
    </row>
    <row r="230" spans="1:34" ht="25.5" customHeight="1" x14ac:dyDescent="0.2">
      <c r="A230" s="289"/>
      <c r="B230" s="284" t="s">
        <v>47</v>
      </c>
      <c r="C230" s="284"/>
      <c r="D230" s="25" t="s">
        <v>32</v>
      </c>
      <c r="E230" s="45">
        <v>16.71</v>
      </c>
      <c r="F230" s="45">
        <v>16.71</v>
      </c>
      <c r="G230" s="45">
        <v>16.71</v>
      </c>
      <c r="H230" s="45">
        <v>16.71</v>
      </c>
      <c r="I230" s="41"/>
      <c r="J230" s="26">
        <v>16.707000000000001</v>
      </c>
      <c r="K230" s="26">
        <v>16.707000000000001</v>
      </c>
      <c r="L230" s="26">
        <v>16.707000000000001</v>
      </c>
      <c r="M230" s="26">
        <v>16.707000000000001</v>
      </c>
      <c r="N230" s="26">
        <v>16.707000000000001</v>
      </c>
      <c r="O230" s="26"/>
      <c r="P230" s="26">
        <v>16.707000000000001</v>
      </c>
      <c r="Q230" s="26">
        <v>16.707000000000001</v>
      </c>
      <c r="R230" s="26">
        <v>16.707000000000001</v>
      </c>
      <c r="S230" s="26">
        <v>16.707000000000001</v>
      </c>
      <c r="T230" s="26">
        <v>16.707000000000001</v>
      </c>
      <c r="U230" s="44"/>
      <c r="V230" s="26">
        <v>16.707000000000001</v>
      </c>
      <c r="W230" s="44">
        <v>19.760000000000002</v>
      </c>
      <c r="X230" s="44">
        <v>19.760000000000002</v>
      </c>
      <c r="Y230" s="44">
        <v>19.760000000000002</v>
      </c>
      <c r="Z230" s="44">
        <v>19.760000000000002</v>
      </c>
      <c r="AA230" s="26"/>
      <c r="AB230" s="26">
        <f>V230+0.742+2.307</f>
        <v>19.756</v>
      </c>
      <c r="AC230" s="26">
        <v>19.760000000000002</v>
      </c>
      <c r="AD230" s="26">
        <v>19.760000000000002</v>
      </c>
      <c r="AE230" s="26">
        <v>19.760000000000002</v>
      </c>
      <c r="AF230" s="26">
        <v>19.760000000000002</v>
      </c>
      <c r="AG230" s="26"/>
      <c r="AH230" s="58">
        <f>AB230</f>
        <v>19.756</v>
      </c>
    </row>
    <row r="231" spans="1:34" ht="30" customHeight="1" x14ac:dyDescent="0.2">
      <c r="A231" s="289"/>
      <c r="B231" s="284"/>
      <c r="C231" s="284"/>
      <c r="D231" s="25" t="s">
        <v>143</v>
      </c>
      <c r="E231" s="23">
        <v>2224.5300000000002</v>
      </c>
      <c r="F231" s="23">
        <v>2258.2199999999998</v>
      </c>
      <c r="G231" s="23">
        <v>2291.91</v>
      </c>
      <c r="H231" s="23">
        <v>2325.6</v>
      </c>
      <c r="I231" s="41"/>
      <c r="J231" s="41">
        <v>2325.6</v>
      </c>
      <c r="K231" s="23">
        <v>2359.29</v>
      </c>
      <c r="L231" s="23">
        <v>2392.98</v>
      </c>
      <c r="M231" s="23">
        <v>2426.67</v>
      </c>
      <c r="N231" s="23">
        <v>2460.36</v>
      </c>
      <c r="O231" s="41"/>
      <c r="P231" s="41">
        <v>2460.36</v>
      </c>
      <c r="Q231" s="23">
        <v>2494.4899999999998</v>
      </c>
      <c r="R231" s="23">
        <v>2528.62</v>
      </c>
      <c r="S231" s="23">
        <v>2562.75</v>
      </c>
      <c r="T231" s="23">
        <v>2596.88</v>
      </c>
      <c r="U231" s="23"/>
      <c r="V231" s="41">
        <v>2596.88</v>
      </c>
      <c r="W231" s="23">
        <v>2616.585</v>
      </c>
      <c r="X231" s="23">
        <v>2636.29</v>
      </c>
      <c r="Y231" s="23">
        <v>2655.9949999999999</v>
      </c>
      <c r="Z231" s="23">
        <v>2675.7</v>
      </c>
      <c r="AA231" s="41"/>
      <c r="AB231" s="41">
        <v>2675.7</v>
      </c>
      <c r="AC231" s="23">
        <v>2715.0925000000002</v>
      </c>
      <c r="AD231" s="23">
        <v>2754.4850000000001</v>
      </c>
      <c r="AE231" s="23">
        <v>2793.8775000000001</v>
      </c>
      <c r="AF231" s="23">
        <v>2833.27</v>
      </c>
      <c r="AG231" s="41"/>
      <c r="AH231" s="41">
        <v>2833.27</v>
      </c>
    </row>
    <row r="232" spans="1:34" x14ac:dyDescent="0.2">
      <c r="A232" s="289"/>
      <c r="B232" s="284" t="s">
        <v>36</v>
      </c>
      <c r="C232" s="284"/>
      <c r="D232" s="25" t="s">
        <v>144</v>
      </c>
      <c r="E232" s="23">
        <v>189</v>
      </c>
      <c r="F232" s="23">
        <v>194</v>
      </c>
      <c r="G232" s="23">
        <v>199</v>
      </c>
      <c r="H232" s="23">
        <v>204</v>
      </c>
      <c r="I232" s="41"/>
      <c r="J232" s="41">
        <v>204</v>
      </c>
      <c r="K232" s="23">
        <v>209</v>
      </c>
      <c r="L232" s="23">
        <v>214</v>
      </c>
      <c r="M232" s="23">
        <v>219</v>
      </c>
      <c r="N232" s="23">
        <v>224</v>
      </c>
      <c r="O232" s="41"/>
      <c r="P232" s="41">
        <v>224</v>
      </c>
      <c r="Q232" s="23">
        <v>232</v>
      </c>
      <c r="R232" s="23">
        <v>239</v>
      </c>
      <c r="S232" s="23">
        <v>247</v>
      </c>
      <c r="T232" s="23">
        <v>254</v>
      </c>
      <c r="U232" s="41"/>
      <c r="V232" s="41">
        <v>254</v>
      </c>
      <c r="W232" s="23">
        <v>302</v>
      </c>
      <c r="X232" s="23">
        <v>351</v>
      </c>
      <c r="Y232" s="23">
        <v>399</v>
      </c>
      <c r="Z232" s="23">
        <v>447</v>
      </c>
      <c r="AA232" s="41"/>
      <c r="AB232" s="41">
        <v>447</v>
      </c>
      <c r="AC232" s="23">
        <v>446</v>
      </c>
      <c r="AD232" s="23">
        <v>446</v>
      </c>
      <c r="AE232" s="23">
        <v>447</v>
      </c>
      <c r="AF232" s="23">
        <v>447</v>
      </c>
      <c r="AG232" s="41"/>
      <c r="AH232" s="41">
        <v>447</v>
      </c>
    </row>
    <row r="233" spans="1:34" x14ac:dyDescent="0.2">
      <c r="A233" s="289"/>
      <c r="B233" s="284"/>
      <c r="C233" s="284"/>
      <c r="D233" s="25" t="s">
        <v>32</v>
      </c>
      <c r="E233" s="23">
        <v>10.7</v>
      </c>
      <c r="F233" s="23">
        <v>10.7</v>
      </c>
      <c r="G233" s="23">
        <v>10.7</v>
      </c>
      <c r="H233" s="23">
        <v>10.7</v>
      </c>
      <c r="I233" s="41"/>
      <c r="J233" s="26">
        <v>10.7</v>
      </c>
      <c r="K233" s="26">
        <v>10.7</v>
      </c>
      <c r="L233" s="26">
        <v>10.7</v>
      </c>
      <c r="M233" s="26">
        <v>10.7</v>
      </c>
      <c r="N233" s="26">
        <v>10.7</v>
      </c>
      <c r="O233" s="41"/>
      <c r="P233" s="26">
        <f>J233</f>
        <v>10.7</v>
      </c>
      <c r="Q233" s="26">
        <f>K233</f>
        <v>10.7</v>
      </c>
      <c r="R233" s="26">
        <f>L233</f>
        <v>10.7</v>
      </c>
      <c r="S233" s="26">
        <f>M233</f>
        <v>10.7</v>
      </c>
      <c r="T233" s="26">
        <f>N233</f>
        <v>10.7</v>
      </c>
      <c r="U233" s="41"/>
      <c r="V233" s="26">
        <v>10.7</v>
      </c>
      <c r="W233" s="23">
        <v>18.75</v>
      </c>
      <c r="X233" s="23">
        <v>18.75</v>
      </c>
      <c r="Y233" s="23">
        <v>18.75</v>
      </c>
      <c r="Z233" s="23">
        <v>18.75</v>
      </c>
      <c r="AA233" s="41"/>
      <c r="AB233" s="26">
        <f>10.7+7.168+0.879</f>
        <v>18.747</v>
      </c>
      <c r="AC233" s="26">
        <f>10.7+7.168+0.879</f>
        <v>18.747</v>
      </c>
      <c r="AD233" s="26">
        <f>10.7+7.168+0.879</f>
        <v>18.747</v>
      </c>
      <c r="AE233" s="26">
        <f>10.7+7.168+0.879</f>
        <v>18.747</v>
      </c>
      <c r="AF233" s="26">
        <f>10.7+7.168+0.879</f>
        <v>18.747</v>
      </c>
      <c r="AG233" s="41"/>
      <c r="AH233" s="26">
        <f>AB233</f>
        <v>18.747</v>
      </c>
    </row>
    <row r="234" spans="1:34" ht="15.75" customHeight="1" x14ac:dyDescent="0.2">
      <c r="A234" s="289"/>
      <c r="B234" s="284" t="s">
        <v>48</v>
      </c>
      <c r="C234" s="284"/>
      <c r="D234" s="24" t="s">
        <v>143</v>
      </c>
      <c r="E234" s="19">
        <v>358.42500000000001</v>
      </c>
      <c r="F234" s="19">
        <v>432.75</v>
      </c>
      <c r="G234" s="19">
        <v>507.07499999999999</v>
      </c>
      <c r="H234" s="19">
        <v>581.4</v>
      </c>
      <c r="I234" s="41"/>
      <c r="J234" s="47">
        <v>581.4</v>
      </c>
      <c r="K234" s="23">
        <v>655.72500000000002</v>
      </c>
      <c r="L234" s="23">
        <v>730.05</v>
      </c>
      <c r="M234" s="23">
        <v>804.375</v>
      </c>
      <c r="N234" s="23">
        <v>878.7</v>
      </c>
      <c r="O234" s="41"/>
      <c r="P234" s="41">
        <v>878.7</v>
      </c>
      <c r="Q234" s="23">
        <v>954.125</v>
      </c>
      <c r="R234" s="23">
        <v>1029.55</v>
      </c>
      <c r="S234" s="23">
        <v>1104.9749999999999</v>
      </c>
      <c r="T234" s="23">
        <v>1180.4000000000001</v>
      </c>
      <c r="U234" s="41"/>
      <c r="V234" s="41">
        <v>1180.4000000000001</v>
      </c>
      <c r="W234" s="23">
        <v>1368.4124999999999</v>
      </c>
      <c r="X234" s="23">
        <v>1556.425</v>
      </c>
      <c r="Y234" s="23">
        <v>1744.4375</v>
      </c>
      <c r="Z234" s="23">
        <v>1932.45</v>
      </c>
      <c r="AA234" s="41"/>
      <c r="AB234" s="41">
        <v>1932.45</v>
      </c>
      <c r="AC234" s="23">
        <v>1973.4625000000001</v>
      </c>
      <c r="AD234" s="23">
        <v>2014.4749999999999</v>
      </c>
      <c r="AE234" s="23">
        <v>2055.4875000000002</v>
      </c>
      <c r="AF234" s="23">
        <v>2096.5</v>
      </c>
      <c r="AG234" s="41"/>
      <c r="AH234" s="41">
        <v>2096.5</v>
      </c>
    </row>
    <row r="235" spans="1:34" x14ac:dyDescent="0.2">
      <c r="A235" s="289"/>
      <c r="B235" s="284"/>
      <c r="C235" s="284"/>
      <c r="D235" s="24" t="s">
        <v>143</v>
      </c>
      <c r="E235" s="47">
        <f>2885+22</f>
        <v>2907</v>
      </c>
      <c r="F235" s="47">
        <f>2885+22</f>
        <v>2907</v>
      </c>
      <c r="G235" s="47">
        <f>2885+22</f>
        <v>2907</v>
      </c>
      <c r="H235" s="47">
        <f>2885+22</f>
        <v>2907</v>
      </c>
      <c r="I235" s="41"/>
      <c r="J235" s="47">
        <f>2885+22</f>
        <v>2907</v>
      </c>
      <c r="K235" s="23">
        <v>2929</v>
      </c>
      <c r="L235" s="23">
        <v>2929</v>
      </c>
      <c r="M235" s="23">
        <v>2929</v>
      </c>
      <c r="N235" s="23">
        <v>2929</v>
      </c>
      <c r="O235" s="41"/>
      <c r="P235" s="41">
        <f>J235+22</f>
        <v>2929</v>
      </c>
      <c r="Q235" s="23">
        <v>2951</v>
      </c>
      <c r="R235" s="23">
        <v>2951</v>
      </c>
      <c r="S235" s="23">
        <v>2951</v>
      </c>
      <c r="T235" s="23">
        <v>2951</v>
      </c>
      <c r="U235" s="41"/>
      <c r="V235" s="41">
        <f>P235+22</f>
        <v>2951</v>
      </c>
      <c r="W235" s="23">
        <v>2973</v>
      </c>
      <c r="X235" s="23">
        <v>2973</v>
      </c>
      <c r="Y235" s="23">
        <v>2973</v>
      </c>
      <c r="Z235" s="23">
        <v>2973</v>
      </c>
      <c r="AA235" s="41"/>
      <c r="AB235" s="41">
        <f>V235+22</f>
        <v>2973</v>
      </c>
      <c r="AC235" s="23">
        <v>2995</v>
      </c>
      <c r="AD235" s="23">
        <v>2995</v>
      </c>
      <c r="AE235" s="23">
        <v>2995</v>
      </c>
      <c r="AF235" s="23">
        <v>2995</v>
      </c>
      <c r="AG235" s="41"/>
      <c r="AH235" s="41">
        <f>AB235+22</f>
        <v>2995</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10"/>
      <c r="C256" s="9"/>
      <c r="D256" s="9"/>
    </row>
  </sheetData>
  <mergeCells count="2952">
    <mergeCell ref="B14:AH14"/>
    <mergeCell ref="A2:N2"/>
    <mergeCell ref="A3:L3"/>
    <mergeCell ref="A8:R8"/>
    <mergeCell ref="B236:AH236"/>
    <mergeCell ref="B212:AH212"/>
    <mergeCell ref="B195:AH195"/>
    <mergeCell ref="B194:AH194"/>
    <mergeCell ref="B189:AH189"/>
    <mergeCell ref="V253:V254"/>
    <mergeCell ref="AB253:AB254"/>
    <mergeCell ref="AH253:AH254"/>
    <mergeCell ref="J249:J250"/>
    <mergeCell ref="P249:P250"/>
    <mergeCell ref="V249:V250"/>
    <mergeCell ref="AH249:AH250"/>
    <mergeCell ref="J251:J252"/>
    <mergeCell ref="P251:P252"/>
    <mergeCell ref="V251:V252"/>
    <mergeCell ref="AB251:AB252"/>
    <mergeCell ref="AH251:AH252"/>
    <mergeCell ref="R249:R250"/>
    <mergeCell ref="S249:S250"/>
    <mergeCell ref="T249:T250"/>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J217:J218"/>
    <mergeCell ref="P217:P218"/>
    <mergeCell ref="V217:V218"/>
    <mergeCell ref="AB217:AB218"/>
    <mergeCell ref="AH217:AH218"/>
    <mergeCell ref="AH213:AH214"/>
    <mergeCell ref="M213:M214"/>
    <mergeCell ref="N213:N214"/>
    <mergeCell ref="N215:N216"/>
    <mergeCell ref="M217:M218"/>
    <mergeCell ref="G222:H222"/>
    <mergeCell ref="M222:N222"/>
    <mergeCell ref="S222:T222"/>
    <mergeCell ref="Y222:Z222"/>
    <mergeCell ref="AE222:AF222"/>
    <mergeCell ref="J215:J216"/>
    <mergeCell ref="P215:P216"/>
    <mergeCell ref="V215:V216"/>
    <mergeCell ref="AB215:AB216"/>
    <mergeCell ref="M215:M216"/>
    <mergeCell ref="T215:T216"/>
    <mergeCell ref="Q217:Q218"/>
    <mergeCell ref="W217:W218"/>
    <mergeCell ref="X217:X218"/>
    <mergeCell ref="Y217:Y218"/>
    <mergeCell ref="Z217:Z218"/>
    <mergeCell ref="R217:R218"/>
    <mergeCell ref="S217:S218"/>
    <mergeCell ref="T217:T218"/>
    <mergeCell ref="AE215:AE216"/>
    <mergeCell ref="AF215:AF216"/>
    <mergeCell ref="Z213:Z214"/>
    <mergeCell ref="J210:J211"/>
    <mergeCell ref="P210:P211"/>
    <mergeCell ref="V210:V211"/>
    <mergeCell ref="AB210:AB211"/>
    <mergeCell ref="AH210:AH211"/>
    <mergeCell ref="AH215:AH216"/>
    <mergeCell ref="J213:J214"/>
    <mergeCell ref="P213:P214"/>
    <mergeCell ref="V213:V214"/>
    <mergeCell ref="AB213:AB214"/>
    <mergeCell ref="J206:J207"/>
    <mergeCell ref="P206:P207"/>
    <mergeCell ref="V206:V207"/>
    <mergeCell ref="AB206:AB207"/>
    <mergeCell ref="AH206:AH207"/>
    <mergeCell ref="J208:J209"/>
    <mergeCell ref="P208:P209"/>
    <mergeCell ref="V208:V209"/>
    <mergeCell ref="AB208:AB209"/>
    <mergeCell ref="AH208:AH209"/>
    <mergeCell ref="M206:M207"/>
    <mergeCell ref="N206:N207"/>
    <mergeCell ref="M208:M209"/>
    <mergeCell ref="N208:N209"/>
    <mergeCell ref="M210:M211"/>
    <mergeCell ref="N210:N211"/>
    <mergeCell ref="Q206:Q207"/>
    <mergeCell ref="R206:R207"/>
    <mergeCell ref="S206:S207"/>
    <mergeCell ref="T206:T207"/>
    <mergeCell ref="Q208:Q209"/>
    <mergeCell ref="R208:R209"/>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M200:M201"/>
    <mergeCell ref="N200:N201"/>
    <mergeCell ref="M202:M203"/>
    <mergeCell ref="N202:N203"/>
    <mergeCell ref="M204:M205"/>
    <mergeCell ref="N204:N205"/>
    <mergeCell ref="J196:J197"/>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M196:M197"/>
    <mergeCell ref="N196:N197"/>
    <mergeCell ref="M198:M199"/>
    <mergeCell ref="N198:N199"/>
    <mergeCell ref="Q196:Q197"/>
    <mergeCell ref="R196:R197"/>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AD185:AD186"/>
    <mergeCell ref="AE185:AE186"/>
    <mergeCell ref="AF185:AF186"/>
    <mergeCell ref="AD187:AD188"/>
    <mergeCell ref="AE187:AE188"/>
    <mergeCell ref="AF187:AF18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D179:AD180"/>
    <mergeCell ref="AE179:AE180"/>
    <mergeCell ref="AF179:AF18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9:AD160"/>
    <mergeCell ref="AE159:AE160"/>
    <mergeCell ref="AF159:AF160"/>
    <mergeCell ref="AD161:AD162"/>
    <mergeCell ref="AE161:AE162"/>
    <mergeCell ref="AF161:AF162"/>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AA148:AA149"/>
    <mergeCell ref="AC148:AC149"/>
    <mergeCell ref="AD148:AD149"/>
    <mergeCell ref="AE148:AE149"/>
    <mergeCell ref="AF148:AF149"/>
    <mergeCell ref="AG148:AG149"/>
    <mergeCell ref="Y150:Y151"/>
    <mergeCell ref="Z150:Z151"/>
    <mergeCell ref="AA150:AA151"/>
    <mergeCell ref="AC150:AC151"/>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AC139:AC140"/>
    <mergeCell ref="AD139:AD140"/>
    <mergeCell ref="AE139:AE140"/>
    <mergeCell ref="AF139:AF140"/>
    <mergeCell ref="AG139:AG140"/>
    <mergeCell ref="Y141:Y142"/>
    <mergeCell ref="Z141:Z142"/>
    <mergeCell ref="AA141:AA142"/>
    <mergeCell ref="AC141:AC142"/>
    <mergeCell ref="AD141:AD142"/>
    <mergeCell ref="AE141:AE142"/>
    <mergeCell ref="AF141:AF142"/>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Y129:Y130"/>
    <mergeCell ref="Z129:Z130"/>
    <mergeCell ref="AA129:AA130"/>
    <mergeCell ref="AC129:AC130"/>
    <mergeCell ref="AD129:AD130"/>
    <mergeCell ref="AE129:AE130"/>
    <mergeCell ref="AF129:AF130"/>
    <mergeCell ref="AG129:AG130"/>
    <mergeCell ref="L131:L132"/>
    <mergeCell ref="M131:M132"/>
    <mergeCell ref="N131:N132"/>
    <mergeCell ref="O131:O132"/>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AA125:AA126"/>
    <mergeCell ref="AB125:AB126"/>
    <mergeCell ref="AC125:AC126"/>
    <mergeCell ref="AD125:AD126"/>
    <mergeCell ref="AE125:AE126"/>
    <mergeCell ref="AF125:AF126"/>
    <mergeCell ref="AG125:AG126"/>
    <mergeCell ref="AH125:AH126"/>
    <mergeCell ref="L127:L128"/>
    <mergeCell ref="M127:M128"/>
    <mergeCell ref="N127:N128"/>
    <mergeCell ref="O127:O128"/>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AD110:AD111"/>
    <mergeCell ref="AE110:AE111"/>
    <mergeCell ref="AF110:AF111"/>
    <mergeCell ref="AD112:AD113"/>
    <mergeCell ref="AE112:AE113"/>
    <mergeCell ref="AF112:AF113"/>
    <mergeCell ref="AD114:AD115"/>
    <mergeCell ref="AE114:AE115"/>
    <mergeCell ref="AF114:AF115"/>
    <mergeCell ref="AD116:AD117"/>
    <mergeCell ref="AE116:AE117"/>
    <mergeCell ref="AF116:AF117"/>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AD102:AD103"/>
    <mergeCell ref="AE102:AE103"/>
    <mergeCell ref="AF102:AF103"/>
    <mergeCell ref="AD104:AD105"/>
    <mergeCell ref="AE104:AE105"/>
    <mergeCell ref="AF104:AF105"/>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J89:J90"/>
    <mergeCell ref="P89:P90"/>
    <mergeCell ref="V89:V90"/>
    <mergeCell ref="AB89:AB90"/>
    <mergeCell ref="AH89:AH90"/>
    <mergeCell ref="J91:J92"/>
    <mergeCell ref="P91:P92"/>
    <mergeCell ref="V91:V92"/>
    <mergeCell ref="AB91:AB92"/>
    <mergeCell ref="AH91:AH92"/>
    <mergeCell ref="J78:J79"/>
    <mergeCell ref="P78:P79"/>
    <mergeCell ref="V78:V79"/>
    <mergeCell ref="AB78:AB79"/>
    <mergeCell ref="AH78:AH79"/>
    <mergeCell ref="J87:J88"/>
    <mergeCell ref="P87:P88"/>
    <mergeCell ref="V87:V88"/>
    <mergeCell ref="AB87:AB88"/>
    <mergeCell ref="AH87:AH88"/>
    <mergeCell ref="AD78:AD79"/>
    <mergeCell ref="AE78:AE79"/>
    <mergeCell ref="AF78:AF79"/>
    <mergeCell ref="Y83:Y84"/>
    <mergeCell ref="Z83:Z84"/>
    <mergeCell ref="AB83:AB84"/>
    <mergeCell ref="AC83:AC84"/>
    <mergeCell ref="AD83:AD84"/>
    <mergeCell ref="AE83:AE84"/>
    <mergeCell ref="AF83:AF84"/>
    <mergeCell ref="AH83:AH84"/>
    <mergeCell ref="Y85:Y86"/>
    <mergeCell ref="D74:D75"/>
    <mergeCell ref="J74:J75"/>
    <mergeCell ref="P74:P75"/>
    <mergeCell ref="V74:V75"/>
    <mergeCell ref="AB74:AB75"/>
    <mergeCell ref="AH74:AH75"/>
    <mergeCell ref="Q74:Q75"/>
    <mergeCell ref="R74:R75"/>
    <mergeCell ref="S74:S75"/>
    <mergeCell ref="T74:T75"/>
    <mergeCell ref="D71:D72"/>
    <mergeCell ref="J71:J72"/>
    <mergeCell ref="P71:P72"/>
    <mergeCell ref="V71:V72"/>
    <mergeCell ref="AB71:AB72"/>
    <mergeCell ref="AH71:AH72"/>
    <mergeCell ref="Q71:Q72"/>
    <mergeCell ref="R71:R72"/>
    <mergeCell ref="S71:S72"/>
    <mergeCell ref="T71:T72"/>
    <mergeCell ref="E71:E72"/>
    <mergeCell ref="F71:F72"/>
    <mergeCell ref="G71:G72"/>
    <mergeCell ref="H71:H72"/>
    <mergeCell ref="K71:K72"/>
    <mergeCell ref="L71:L72"/>
    <mergeCell ref="M71:M72"/>
    <mergeCell ref="N71:N72"/>
    <mergeCell ref="W71:W72"/>
    <mergeCell ref="X71:X72"/>
    <mergeCell ref="Y71:Y72"/>
    <mergeCell ref="Z71:Z72"/>
    <mergeCell ref="D69:D70"/>
    <mergeCell ref="J69:J70"/>
    <mergeCell ref="P69:P70"/>
    <mergeCell ref="V69:V70"/>
    <mergeCell ref="AB69:AB70"/>
    <mergeCell ref="AH69:AH70"/>
    <mergeCell ref="Q69:Q70"/>
    <mergeCell ref="R69:R70"/>
    <mergeCell ref="S69:S70"/>
    <mergeCell ref="T69:T70"/>
    <mergeCell ref="D67:D68"/>
    <mergeCell ref="J67:J68"/>
    <mergeCell ref="P67:P68"/>
    <mergeCell ref="V67:V68"/>
    <mergeCell ref="AB67:AB68"/>
    <mergeCell ref="AH67:AH68"/>
    <mergeCell ref="Q67:Q68"/>
    <mergeCell ref="R67:R68"/>
    <mergeCell ref="S67:S68"/>
    <mergeCell ref="T67:T68"/>
    <mergeCell ref="E67:E68"/>
    <mergeCell ref="F67:F68"/>
    <mergeCell ref="G67:G68"/>
    <mergeCell ref="H67:H68"/>
    <mergeCell ref="K67:K68"/>
    <mergeCell ref="L67:L68"/>
    <mergeCell ref="M67:M68"/>
    <mergeCell ref="N67:N68"/>
    <mergeCell ref="W67:W68"/>
    <mergeCell ref="X67:X68"/>
    <mergeCell ref="Y67:Y68"/>
    <mergeCell ref="Z67:Z68"/>
    <mergeCell ref="D65:D66"/>
    <mergeCell ref="J65:J66"/>
    <mergeCell ref="P65:P66"/>
    <mergeCell ref="V65:V66"/>
    <mergeCell ref="AB65:AB66"/>
    <mergeCell ref="AH65:AH66"/>
    <mergeCell ref="Q65:Q66"/>
    <mergeCell ref="R65:R66"/>
    <mergeCell ref="S65:S66"/>
    <mergeCell ref="T65:T66"/>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E63:E64"/>
    <mergeCell ref="F63:F64"/>
    <mergeCell ref="G63:G64"/>
    <mergeCell ref="H63:H64"/>
    <mergeCell ref="K63:K64"/>
    <mergeCell ref="L63:L64"/>
    <mergeCell ref="M63:M64"/>
    <mergeCell ref="N63:N64"/>
    <mergeCell ref="Q63:Q64"/>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B58:AH58"/>
    <mergeCell ref="C56:C57"/>
    <mergeCell ref="L56:L57"/>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E50:E51"/>
    <mergeCell ref="F50:F51"/>
    <mergeCell ref="G50:G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S42:S43"/>
    <mergeCell ref="T42:T43"/>
    <mergeCell ref="W42:W43"/>
    <mergeCell ref="AH35:AH36"/>
    <mergeCell ref="D37:D38"/>
    <mergeCell ref="J37:J38"/>
    <mergeCell ref="O37:O38"/>
    <mergeCell ref="P37:P38"/>
    <mergeCell ref="V37:V38"/>
    <mergeCell ref="AB37:AB38"/>
    <mergeCell ref="AH37:AH38"/>
    <mergeCell ref="D35:D36"/>
    <mergeCell ref="I35:I36"/>
    <mergeCell ref="J35:J36"/>
    <mergeCell ref="O35:O36"/>
    <mergeCell ref="P35:P36"/>
    <mergeCell ref="V35:V36"/>
    <mergeCell ref="AB31:AB32"/>
    <mergeCell ref="I31:I32"/>
    <mergeCell ref="J31:J32"/>
    <mergeCell ref="O31:O32"/>
    <mergeCell ref="P31:P32"/>
    <mergeCell ref="AH31:AH32"/>
    <mergeCell ref="D33:D34"/>
    <mergeCell ref="I33:I34"/>
    <mergeCell ref="J33:J34"/>
    <mergeCell ref="O33:O34"/>
    <mergeCell ref="P33:P34"/>
    <mergeCell ref="V33:V34"/>
    <mergeCell ref="AB33:AB34"/>
    <mergeCell ref="AH33:AH34"/>
    <mergeCell ref="D31:D32"/>
    <mergeCell ref="V31:V32"/>
    <mergeCell ref="E31:E32"/>
    <mergeCell ref="F31:F32"/>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Q23:Q24"/>
    <mergeCell ref="R23:R24"/>
    <mergeCell ref="S23:S24"/>
    <mergeCell ref="T23:T24"/>
    <mergeCell ref="E23:E24"/>
    <mergeCell ref="F23:F24"/>
    <mergeCell ref="G23:G24"/>
    <mergeCell ref="H23:H24"/>
    <mergeCell ref="K23:K24"/>
    <mergeCell ref="L23:L24"/>
    <mergeCell ref="M23:M24"/>
    <mergeCell ref="N23:N24"/>
    <mergeCell ref="U23:U24"/>
    <mergeCell ref="W23:W24"/>
    <mergeCell ref="X23:X24"/>
    <mergeCell ref="Y23:Y24"/>
    <mergeCell ref="AH19:AH20"/>
    <mergeCell ref="D21:D22"/>
    <mergeCell ref="I21:I22"/>
    <mergeCell ref="J21:J22"/>
    <mergeCell ref="O21:O22"/>
    <mergeCell ref="P21:P22"/>
    <mergeCell ref="V21:V22"/>
    <mergeCell ref="AB21:AB22"/>
    <mergeCell ref="AH21:AH22"/>
    <mergeCell ref="D19:D20"/>
    <mergeCell ref="I19:I20"/>
    <mergeCell ref="J19:J20"/>
    <mergeCell ref="O19:O20"/>
    <mergeCell ref="P19:P20"/>
    <mergeCell ref="V19:V20"/>
    <mergeCell ref="E19:E20"/>
    <mergeCell ref="F19:F20"/>
    <mergeCell ref="G19:G20"/>
    <mergeCell ref="H19:H20"/>
    <mergeCell ref="K19:K20"/>
    <mergeCell ref="L19:L20"/>
    <mergeCell ref="M19:M20"/>
    <mergeCell ref="N19:N20"/>
    <mergeCell ref="Q19:Q20"/>
    <mergeCell ref="R19:R20"/>
    <mergeCell ref="S19:S20"/>
    <mergeCell ref="T19:T20"/>
    <mergeCell ref="U19:U20"/>
    <mergeCell ref="W19:W20"/>
    <mergeCell ref="X19:X20"/>
    <mergeCell ref="Y19:Y20"/>
    <mergeCell ref="Z19:Z20"/>
    <mergeCell ref="AH15:AH16"/>
    <mergeCell ref="D17:D18"/>
    <mergeCell ref="I17:I18"/>
    <mergeCell ref="J17:J18"/>
    <mergeCell ref="O17:O18"/>
    <mergeCell ref="P17:P18"/>
    <mergeCell ref="V17:V18"/>
    <mergeCell ref="AB17:AB18"/>
    <mergeCell ref="AH17:AH18"/>
    <mergeCell ref="D15:D16"/>
    <mergeCell ref="I15:I16"/>
    <mergeCell ref="J15:J16"/>
    <mergeCell ref="O15:O16"/>
    <mergeCell ref="P15:P16"/>
    <mergeCell ref="V15:V16"/>
    <mergeCell ref="Q15:Q16"/>
    <mergeCell ref="R15:R16"/>
    <mergeCell ref="S15:S16"/>
    <mergeCell ref="T15:T16"/>
    <mergeCell ref="E15:E16"/>
    <mergeCell ref="F15:F16"/>
    <mergeCell ref="G15:G16"/>
    <mergeCell ref="H15:H16"/>
    <mergeCell ref="K15:K16"/>
    <mergeCell ref="L15:L16"/>
    <mergeCell ref="M15:M16"/>
    <mergeCell ref="N15:N16"/>
    <mergeCell ref="U15:U16"/>
    <mergeCell ref="W15:W16"/>
    <mergeCell ref="X15:X16"/>
    <mergeCell ref="Y15:Y16"/>
    <mergeCell ref="AC10:AG10"/>
    <mergeCell ref="E11:J11"/>
    <mergeCell ref="K11:O11"/>
    <mergeCell ref="Q11:U11"/>
    <mergeCell ref="W11:AA11"/>
    <mergeCell ref="AC11:AG11"/>
    <mergeCell ref="B159:B164"/>
    <mergeCell ref="C173:C174"/>
    <mergeCell ref="C175:C176"/>
    <mergeCell ref="N3:N5"/>
    <mergeCell ref="O3:O5"/>
    <mergeCell ref="Y5:Y6"/>
    <mergeCell ref="E10:I10"/>
    <mergeCell ref="K10:P10"/>
    <mergeCell ref="Q10:V10"/>
    <mergeCell ref="W10:AA10"/>
    <mergeCell ref="C163:C164"/>
    <mergeCell ref="B146:B151"/>
    <mergeCell ref="B165:B170"/>
    <mergeCell ref="C167:C168"/>
    <mergeCell ref="B131:B136"/>
    <mergeCell ref="A4:C4"/>
    <mergeCell ref="A7:C7"/>
    <mergeCell ref="C10:C12"/>
    <mergeCell ref="B10:B12"/>
    <mergeCell ref="A5:B5"/>
    <mergeCell ref="C159:C160"/>
    <mergeCell ref="C150:C151"/>
    <mergeCell ref="A171:A176"/>
    <mergeCell ref="D78:D79"/>
    <mergeCell ref="D83:D84"/>
    <mergeCell ref="D85:D86"/>
    <mergeCell ref="C181:C182"/>
    <mergeCell ref="B15:B20"/>
    <mergeCell ref="B171:B176"/>
    <mergeCell ref="C185:C186"/>
    <mergeCell ref="B153:B158"/>
    <mergeCell ref="B59:C60"/>
    <mergeCell ref="B95:C95"/>
    <mergeCell ref="B89:B94"/>
    <mergeCell ref="A59:A72"/>
    <mergeCell ref="B71:C72"/>
    <mergeCell ref="A40:A57"/>
    <mergeCell ref="C40:C41"/>
    <mergeCell ref="C42:C43"/>
    <mergeCell ref="B61:C62"/>
    <mergeCell ref="C54:C55"/>
    <mergeCell ref="C157:C158"/>
    <mergeCell ref="C114:C115"/>
    <mergeCell ref="C161:C162"/>
    <mergeCell ref="B67:C68"/>
    <mergeCell ref="B65:C66"/>
    <mergeCell ref="C52:C53"/>
    <mergeCell ref="C93:C94"/>
    <mergeCell ref="B112:B117"/>
    <mergeCell ref="B118:B123"/>
    <mergeCell ref="C155:C156"/>
    <mergeCell ref="B52:B57"/>
    <mergeCell ref="B63:C64"/>
    <mergeCell ref="C50:C51"/>
    <mergeCell ref="C135:C136"/>
    <mergeCell ref="C171:C172"/>
    <mergeCell ref="C153:C154"/>
    <mergeCell ref="C100:C101"/>
    <mergeCell ref="A15:A38"/>
    <mergeCell ref="B33:B38"/>
    <mergeCell ref="C33:C34"/>
    <mergeCell ref="C35:C36"/>
    <mergeCell ref="C37:C38"/>
    <mergeCell ref="B21:B26"/>
    <mergeCell ref="C15:C16"/>
    <mergeCell ref="C17:C18"/>
    <mergeCell ref="C19:C20"/>
    <mergeCell ref="B40:B45"/>
    <mergeCell ref="C25:C26"/>
    <mergeCell ref="C48:C49"/>
    <mergeCell ref="B39:C39"/>
    <mergeCell ref="C29:C30"/>
    <mergeCell ref="C31:C32"/>
    <mergeCell ref="B27:B32"/>
    <mergeCell ref="C137:C138"/>
    <mergeCell ref="C96:C97"/>
    <mergeCell ref="B77:C77"/>
    <mergeCell ref="B76:C76"/>
    <mergeCell ref="B78:C79"/>
    <mergeCell ref="C118:C119"/>
    <mergeCell ref="B96:B101"/>
    <mergeCell ref="C122:C123"/>
    <mergeCell ref="B83:B88"/>
    <mergeCell ref="C83:C84"/>
    <mergeCell ref="C27:C28"/>
    <mergeCell ref="C23:C24"/>
    <mergeCell ref="C21:C22"/>
    <mergeCell ref="B108:C108"/>
    <mergeCell ref="C125:C126"/>
    <mergeCell ref="C127:C128"/>
    <mergeCell ref="B196:C197"/>
    <mergeCell ref="B210:C211"/>
    <mergeCell ref="B208:C209"/>
    <mergeCell ref="B226:C227"/>
    <mergeCell ref="C169:C170"/>
    <mergeCell ref="B200:C201"/>
    <mergeCell ref="C179:C180"/>
    <mergeCell ref="B190:C191"/>
    <mergeCell ref="B177:B182"/>
    <mergeCell ref="C187:C188"/>
    <mergeCell ref="A226:A235"/>
    <mergeCell ref="B230:C231"/>
    <mergeCell ref="B225:C225"/>
    <mergeCell ref="B213:C214"/>
    <mergeCell ref="C253:C254"/>
    <mergeCell ref="B232:C233"/>
    <mergeCell ref="B234:C235"/>
    <mergeCell ref="C249:C250"/>
    <mergeCell ref="C251:C252"/>
    <mergeCell ref="B249:B254"/>
    <mergeCell ref="B243:B248"/>
    <mergeCell ref="C247:C248"/>
    <mergeCell ref="C239:C240"/>
    <mergeCell ref="C202:C203"/>
    <mergeCell ref="B202:B207"/>
    <mergeCell ref="B228:C229"/>
    <mergeCell ref="B217:C218"/>
    <mergeCell ref="A213:A218"/>
    <mergeCell ref="B215:C216"/>
    <mergeCell ref="C222:C223"/>
    <mergeCell ref="A190:A193"/>
    <mergeCell ref="C204:C205"/>
    <mergeCell ref="C85:C86"/>
    <mergeCell ref="C89:C90"/>
    <mergeCell ref="C91:C92"/>
    <mergeCell ref="B46:B51"/>
    <mergeCell ref="C46:C47"/>
    <mergeCell ref="A153:A170"/>
    <mergeCell ref="C120:C121"/>
    <mergeCell ref="A125:A151"/>
    <mergeCell ref="B80:AH80"/>
    <mergeCell ref="B81:C81"/>
    <mergeCell ref="A109:A123"/>
    <mergeCell ref="C116:C117"/>
    <mergeCell ref="A82:A107"/>
    <mergeCell ref="B102:B107"/>
    <mergeCell ref="C87:C88"/>
    <mergeCell ref="B74:C75"/>
    <mergeCell ref="C165:C166"/>
    <mergeCell ref="B143:B145"/>
    <mergeCell ref="B110:C111"/>
    <mergeCell ref="C141:C142"/>
    <mergeCell ref="AH52:AH53"/>
    <mergeCell ref="D54:D55"/>
    <mergeCell ref="I54:I55"/>
    <mergeCell ref="J54:J55"/>
    <mergeCell ref="P54:P55"/>
    <mergeCell ref="V54:V55"/>
    <mergeCell ref="AB54:AB55"/>
    <mergeCell ref="AH54:AH55"/>
    <mergeCell ref="D52:D53"/>
    <mergeCell ref="I52:I53"/>
    <mergeCell ref="J52:J53"/>
    <mergeCell ref="P52:P53"/>
    <mergeCell ref="A177:A182"/>
    <mergeCell ref="A183:A188"/>
    <mergeCell ref="C177:C178"/>
    <mergeCell ref="C183:C184"/>
    <mergeCell ref="B183:B188"/>
    <mergeCell ref="C98:C99"/>
    <mergeCell ref="C44:C45"/>
    <mergeCell ref="C146:C147"/>
    <mergeCell ref="C148:C149"/>
    <mergeCell ref="B192:C193"/>
    <mergeCell ref="B137:B142"/>
    <mergeCell ref="C129:C130"/>
    <mergeCell ref="C131:C132"/>
    <mergeCell ref="C133:C134"/>
    <mergeCell ref="B69:C70"/>
    <mergeCell ref="A237:A254"/>
    <mergeCell ref="B237:B242"/>
    <mergeCell ref="C241:C242"/>
    <mergeCell ref="C243:C244"/>
    <mergeCell ref="C245:C246"/>
    <mergeCell ref="C206:C207"/>
    <mergeCell ref="A196:A211"/>
    <mergeCell ref="A222:A223"/>
    <mergeCell ref="B222:B223"/>
    <mergeCell ref="B198:C199"/>
    <mergeCell ref="A74:A79"/>
    <mergeCell ref="B125:B130"/>
    <mergeCell ref="C139:C140"/>
    <mergeCell ref="C112:C113"/>
    <mergeCell ref="C102:C103"/>
    <mergeCell ref="C104:C105"/>
    <mergeCell ref="C106:C107"/>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B124:AH124"/>
    <mergeCell ref="D135:D136"/>
    <mergeCell ref="D137:D138"/>
    <mergeCell ref="D139:D140"/>
    <mergeCell ref="D141:D142"/>
    <mergeCell ref="D146:D147"/>
    <mergeCell ref="D148:D149"/>
    <mergeCell ref="D150:D151"/>
    <mergeCell ref="D153:D154"/>
    <mergeCell ref="D155:D156"/>
    <mergeCell ref="D157:D158"/>
    <mergeCell ref="D159:D160"/>
    <mergeCell ref="D161:D162"/>
    <mergeCell ref="B152:AH152"/>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Y125:Y126"/>
    <mergeCell ref="Z125:Z126"/>
    <mergeCell ref="D163:D164"/>
    <mergeCell ref="D165:D166"/>
    <mergeCell ref="D167:D168"/>
    <mergeCell ref="D169:D170"/>
    <mergeCell ref="D171:D172"/>
    <mergeCell ref="D173:D174"/>
    <mergeCell ref="D175:D176"/>
    <mergeCell ref="D177:D178"/>
    <mergeCell ref="D179:D180"/>
    <mergeCell ref="D181:D182"/>
    <mergeCell ref="D183:D184"/>
    <mergeCell ref="D185:D186"/>
    <mergeCell ref="D247:D248"/>
    <mergeCell ref="D249:D250"/>
    <mergeCell ref="D215:D216"/>
    <mergeCell ref="D251:D252"/>
    <mergeCell ref="D253:D254"/>
    <mergeCell ref="D192:D193"/>
    <mergeCell ref="D237:D238"/>
    <mergeCell ref="D239:D240"/>
    <mergeCell ref="D241:D242"/>
    <mergeCell ref="D196:D197"/>
    <mergeCell ref="A6:B6"/>
    <mergeCell ref="D198:D199"/>
    <mergeCell ref="D208:D209"/>
    <mergeCell ref="D243:D244"/>
    <mergeCell ref="D245:D246"/>
    <mergeCell ref="D187:D188"/>
    <mergeCell ref="D190:D191"/>
    <mergeCell ref="D206:D207"/>
    <mergeCell ref="D210:D211"/>
    <mergeCell ref="D213:D214"/>
    <mergeCell ref="E125:E126"/>
    <mergeCell ref="F125:F126"/>
    <mergeCell ref="G125:G126"/>
    <mergeCell ref="H125:H126"/>
    <mergeCell ref="I125:I126"/>
    <mergeCell ref="J125:J126"/>
    <mergeCell ref="K125:K126"/>
    <mergeCell ref="E127:E128"/>
    <mergeCell ref="F127:F128"/>
    <mergeCell ref="G127:G128"/>
    <mergeCell ref="H127:H128"/>
    <mergeCell ref="I127:I128"/>
    <mergeCell ref="K127:K128"/>
    <mergeCell ref="E131:E132"/>
    <mergeCell ref="F131:F132"/>
    <mergeCell ref="G131:G132"/>
    <mergeCell ref="H131:H132"/>
    <mergeCell ref="I131:I132"/>
    <mergeCell ref="K131:K132"/>
    <mergeCell ref="E139:E140"/>
    <mergeCell ref="F139:F140"/>
    <mergeCell ref="G139:G140"/>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Y139:Y140"/>
    <mergeCell ref="Z139:Z140"/>
    <mergeCell ref="AA139:AA140"/>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AG137:AG138"/>
    <mergeCell ref="L141:L142"/>
    <mergeCell ref="M141:M142"/>
    <mergeCell ref="N141:N142"/>
    <mergeCell ref="O141:O142"/>
    <mergeCell ref="Q141:Q142"/>
    <mergeCell ref="R141:R142"/>
    <mergeCell ref="S141:S142"/>
    <mergeCell ref="T141:T142"/>
    <mergeCell ref="U141:U142"/>
    <mergeCell ref="W141:W142"/>
    <mergeCell ref="X141:X142"/>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J141:J142"/>
    <mergeCell ref="P141:P142"/>
    <mergeCell ref="V141:V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G141:G142"/>
    <mergeCell ref="H141:H142"/>
    <mergeCell ref="I141:I142"/>
    <mergeCell ref="K141:K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X42:X43"/>
    <mergeCell ref="Y42:Y43"/>
    <mergeCell ref="Z42:Z43"/>
    <mergeCell ref="AC42:AC43"/>
    <mergeCell ref="AD42:AD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AE48:AE49"/>
    <mergeCell ref="AF48:AF49"/>
    <mergeCell ref="E46:E47"/>
    <mergeCell ref="F46:F47"/>
    <mergeCell ref="G46:G47"/>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N50:N51"/>
    <mergeCell ref="Q50:Q51"/>
    <mergeCell ref="R50:R51"/>
    <mergeCell ref="S50:S51"/>
    <mergeCell ref="T50:T51"/>
    <mergeCell ref="W50:W51"/>
    <mergeCell ref="X50:X51"/>
    <mergeCell ref="Y50:Y51"/>
    <mergeCell ref="Z50:Z51"/>
    <mergeCell ref="AC50:AC51"/>
    <mergeCell ref="AB50:AB51"/>
    <mergeCell ref="AD50:AD51"/>
    <mergeCell ref="AE50:AE51"/>
    <mergeCell ref="AD46:AD47"/>
    <mergeCell ref="AE46:AE47"/>
    <mergeCell ref="AF46:AF47"/>
    <mergeCell ref="E48:E49"/>
    <mergeCell ref="F48:F49"/>
    <mergeCell ref="G48:G49"/>
    <mergeCell ref="H48:H49"/>
    <mergeCell ref="K48:K49"/>
    <mergeCell ref="L48:L49"/>
    <mergeCell ref="M48:M49"/>
    <mergeCell ref="R48:R49"/>
    <mergeCell ref="S48:S49"/>
    <mergeCell ref="T48:T49"/>
    <mergeCell ref="W48:W49"/>
    <mergeCell ref="X48:X49"/>
    <mergeCell ref="Y48:Y49"/>
    <mergeCell ref="Z48:Z49"/>
    <mergeCell ref="AC48:AC49"/>
    <mergeCell ref="AD48:AD49"/>
    <mergeCell ref="S54:S55"/>
    <mergeCell ref="T54:T55"/>
    <mergeCell ref="W54:W55"/>
    <mergeCell ref="X54:X55"/>
    <mergeCell ref="Y54:Y55"/>
    <mergeCell ref="Z54:Z55"/>
    <mergeCell ref="AC54:AC55"/>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H50:H51"/>
    <mergeCell ref="K50:K51"/>
    <mergeCell ref="L50:L51"/>
    <mergeCell ref="M50:M51"/>
    <mergeCell ref="AD54:AD55"/>
    <mergeCell ref="AE54:AE55"/>
    <mergeCell ref="AF54:AF55"/>
    <mergeCell ref="E56:E57"/>
    <mergeCell ref="F56:F57"/>
    <mergeCell ref="G56:G57"/>
    <mergeCell ref="H56:H57"/>
    <mergeCell ref="K56:K57"/>
    <mergeCell ref="M56:M57"/>
    <mergeCell ref="N56:N57"/>
    <mergeCell ref="Q56:Q57"/>
    <mergeCell ref="R56:R57"/>
    <mergeCell ref="S56:S57"/>
    <mergeCell ref="T56:T57"/>
    <mergeCell ref="W56:W57"/>
    <mergeCell ref="X56:X57"/>
    <mergeCell ref="Y56:Y57"/>
    <mergeCell ref="Z56:Z57"/>
    <mergeCell ref="AC56:AC57"/>
    <mergeCell ref="AD56:AD57"/>
    <mergeCell ref="AE56:AE57"/>
    <mergeCell ref="AF56:AF57"/>
    <mergeCell ref="E54:E55"/>
    <mergeCell ref="F54:F55"/>
    <mergeCell ref="G54:G55"/>
    <mergeCell ref="H54:H55"/>
    <mergeCell ref="K54:K55"/>
    <mergeCell ref="L54:L55"/>
    <mergeCell ref="M54:M55"/>
    <mergeCell ref="N54:N55"/>
    <mergeCell ref="Q54:Q55"/>
    <mergeCell ref="R54:R55"/>
    <mergeCell ref="Z15:Z16"/>
    <mergeCell ref="AA15:AA16"/>
    <mergeCell ref="AC15:AC16"/>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AB15:AB16"/>
    <mergeCell ref="AA19:AA20"/>
    <mergeCell ref="AC19:AC20"/>
    <mergeCell ref="AD19:AD20"/>
    <mergeCell ref="AE19:AE20"/>
    <mergeCell ref="AF19:AF20"/>
    <mergeCell ref="AB19:AB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Z23:Z24"/>
    <mergeCell ref="AA23:AA24"/>
    <mergeCell ref="AC23:AC24"/>
    <mergeCell ref="AD23:AD24"/>
    <mergeCell ref="AE23:AE24"/>
    <mergeCell ref="AF23:AF24"/>
    <mergeCell ref="AG23:AG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B23:AB24"/>
    <mergeCell ref="Z27:Z28"/>
    <mergeCell ref="AA27:AA28"/>
    <mergeCell ref="AC27:AC28"/>
    <mergeCell ref="AD27:AD28"/>
    <mergeCell ref="AE27:AE28"/>
    <mergeCell ref="AF27:AF28"/>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AB27:AB28"/>
    <mergeCell ref="AE31:AE32"/>
    <mergeCell ref="AF31:AF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G31:G32"/>
    <mergeCell ref="H31:H32"/>
    <mergeCell ref="K31:K32"/>
    <mergeCell ref="L31:L32"/>
    <mergeCell ref="M31:M32"/>
    <mergeCell ref="N31:N32"/>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AD31:AD32"/>
    <mergeCell ref="Q31:Q32"/>
    <mergeCell ref="R31:R32"/>
    <mergeCell ref="S31:S32"/>
    <mergeCell ref="T31:T32"/>
    <mergeCell ref="U31:U32"/>
    <mergeCell ref="W31:W32"/>
    <mergeCell ref="X31:X32"/>
    <mergeCell ref="Y31:Y32"/>
    <mergeCell ref="Z31:Z32"/>
    <mergeCell ref="AA31:AA32"/>
    <mergeCell ref="AC31:AC32"/>
    <mergeCell ref="AA35:AA36"/>
    <mergeCell ref="AC35:AC36"/>
    <mergeCell ref="AD35:AD36"/>
    <mergeCell ref="AE35:AE36"/>
    <mergeCell ref="AF35:AF36"/>
    <mergeCell ref="AG35:AG36"/>
    <mergeCell ref="AB35:AB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35:E36"/>
    <mergeCell ref="Z59:Z60"/>
    <mergeCell ref="AC59:AC60"/>
    <mergeCell ref="AD59:AD60"/>
    <mergeCell ref="AE59:AE60"/>
    <mergeCell ref="AF59:AF60"/>
    <mergeCell ref="E61:E62"/>
    <mergeCell ref="F61:F62"/>
    <mergeCell ref="G61:G62"/>
    <mergeCell ref="H61:H62"/>
    <mergeCell ref="K61:K62"/>
    <mergeCell ref="L61:L62"/>
    <mergeCell ref="M61:M62"/>
    <mergeCell ref="N61:N62"/>
    <mergeCell ref="Q61:Q62"/>
    <mergeCell ref="R61:R62"/>
    <mergeCell ref="S61:S62"/>
    <mergeCell ref="T61:T62"/>
    <mergeCell ref="W61:W62"/>
    <mergeCell ref="X61:X62"/>
    <mergeCell ref="Y61:Y62"/>
    <mergeCell ref="Z61:Z62"/>
    <mergeCell ref="AC61:AC62"/>
    <mergeCell ref="AD61:AD62"/>
    <mergeCell ref="AE61:AE62"/>
    <mergeCell ref="AF61:AF62"/>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W65:W66"/>
    <mergeCell ref="X65:X66"/>
    <mergeCell ref="Y65:Y66"/>
    <mergeCell ref="Z65:Z66"/>
    <mergeCell ref="AC65:AC66"/>
    <mergeCell ref="AD65:AD66"/>
    <mergeCell ref="AE65:AE66"/>
    <mergeCell ref="AF65:AF66"/>
    <mergeCell ref="AC67:AC68"/>
    <mergeCell ref="AD67:AD68"/>
    <mergeCell ref="AE67:AE68"/>
    <mergeCell ref="AF67:AF68"/>
    <mergeCell ref="E69:E70"/>
    <mergeCell ref="F69:F70"/>
    <mergeCell ref="G69:G70"/>
    <mergeCell ref="H69:H70"/>
    <mergeCell ref="K69:K70"/>
    <mergeCell ref="L69:L70"/>
    <mergeCell ref="M69:M70"/>
    <mergeCell ref="N69:N70"/>
    <mergeCell ref="W69:W70"/>
    <mergeCell ref="X69:X70"/>
    <mergeCell ref="Y69:Y70"/>
    <mergeCell ref="Z69:Z70"/>
    <mergeCell ref="AC69:AC70"/>
    <mergeCell ref="AD69:AD70"/>
    <mergeCell ref="AE69:AE70"/>
    <mergeCell ref="AF69:AF70"/>
    <mergeCell ref="AC71:AC72"/>
    <mergeCell ref="AD71:AD72"/>
    <mergeCell ref="AE71:AE72"/>
    <mergeCell ref="AF71:AF72"/>
    <mergeCell ref="E74:E75"/>
    <mergeCell ref="F74:F75"/>
    <mergeCell ref="G74:G75"/>
    <mergeCell ref="H74:H75"/>
    <mergeCell ref="K74:K75"/>
    <mergeCell ref="L74:L75"/>
    <mergeCell ref="M74:M75"/>
    <mergeCell ref="N74:N75"/>
    <mergeCell ref="W74:W75"/>
    <mergeCell ref="X74:X75"/>
    <mergeCell ref="Y74:Y75"/>
    <mergeCell ref="Z74:Z75"/>
    <mergeCell ref="AC74:AC75"/>
    <mergeCell ref="AD74:AD75"/>
    <mergeCell ref="AE74:AE75"/>
    <mergeCell ref="AF74:AF75"/>
    <mergeCell ref="B73:AH73"/>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E83:E84"/>
    <mergeCell ref="F83:F84"/>
    <mergeCell ref="G83:G84"/>
    <mergeCell ref="H83:H84"/>
    <mergeCell ref="J83:J84"/>
    <mergeCell ref="K83:K84"/>
    <mergeCell ref="L83:L84"/>
    <mergeCell ref="M83:M84"/>
    <mergeCell ref="N83:N84"/>
    <mergeCell ref="P83:P84"/>
    <mergeCell ref="Q83:Q84"/>
    <mergeCell ref="R83:R84"/>
    <mergeCell ref="S83:S84"/>
    <mergeCell ref="T83:T84"/>
    <mergeCell ref="V83:V84"/>
    <mergeCell ref="W83:W84"/>
    <mergeCell ref="X83:X84"/>
    <mergeCell ref="AC87:AC88"/>
    <mergeCell ref="AD87:AD88"/>
    <mergeCell ref="AE87:AE88"/>
    <mergeCell ref="AF87:AF88"/>
    <mergeCell ref="E85:E86"/>
    <mergeCell ref="F85:F86"/>
    <mergeCell ref="G85:G86"/>
    <mergeCell ref="H85:H86"/>
    <mergeCell ref="J85:J86"/>
    <mergeCell ref="K85:K86"/>
    <mergeCell ref="L85:L86"/>
    <mergeCell ref="M85:M86"/>
    <mergeCell ref="N85:N86"/>
    <mergeCell ref="P85:P86"/>
    <mergeCell ref="Q85:Q86"/>
    <mergeCell ref="R85:R86"/>
    <mergeCell ref="S85:S86"/>
    <mergeCell ref="T85:T86"/>
    <mergeCell ref="V85:V86"/>
    <mergeCell ref="W85:W86"/>
    <mergeCell ref="X85:X86"/>
    <mergeCell ref="Q89:Q90"/>
    <mergeCell ref="R89:R90"/>
    <mergeCell ref="S89:S90"/>
    <mergeCell ref="T89:T90"/>
    <mergeCell ref="W89:W90"/>
    <mergeCell ref="X89:X90"/>
    <mergeCell ref="Y89:Y90"/>
    <mergeCell ref="Z89:Z90"/>
    <mergeCell ref="AC89:AC90"/>
    <mergeCell ref="Z85:Z86"/>
    <mergeCell ref="AB85:AB86"/>
    <mergeCell ref="AC85:AC86"/>
    <mergeCell ref="AD85:AD86"/>
    <mergeCell ref="AE85:AE86"/>
    <mergeCell ref="AF85:AF86"/>
    <mergeCell ref="AH85:AH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F96:AF97"/>
    <mergeCell ref="AD89:AD90"/>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D91:AD92"/>
    <mergeCell ref="AE91:AE92"/>
    <mergeCell ref="AF91:AF92"/>
    <mergeCell ref="E89:E90"/>
    <mergeCell ref="F89:F90"/>
    <mergeCell ref="G89:G90"/>
    <mergeCell ref="H89:H90"/>
    <mergeCell ref="K89:K90"/>
    <mergeCell ref="L89:L90"/>
    <mergeCell ref="M89:M90"/>
    <mergeCell ref="N89:N90"/>
    <mergeCell ref="R98:R99"/>
    <mergeCell ref="S98:S99"/>
    <mergeCell ref="T98:T99"/>
    <mergeCell ref="W98:W99"/>
    <mergeCell ref="X98:X99"/>
    <mergeCell ref="Y98:Y99"/>
    <mergeCell ref="Z98:Z99"/>
    <mergeCell ref="AC98:AC99"/>
    <mergeCell ref="W93:W94"/>
    <mergeCell ref="X93:X94"/>
    <mergeCell ref="Y93:Y94"/>
    <mergeCell ref="Z93:Z94"/>
    <mergeCell ref="AC93:AC94"/>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AD100:AD101"/>
    <mergeCell ref="AE100:AE101"/>
    <mergeCell ref="AF100:AF101"/>
    <mergeCell ref="E98:E99"/>
    <mergeCell ref="F98:F99"/>
    <mergeCell ref="G98:G99"/>
    <mergeCell ref="H98:H99"/>
    <mergeCell ref="K98:K99"/>
    <mergeCell ref="L98:L99"/>
    <mergeCell ref="M98:M99"/>
    <mergeCell ref="N98:N99"/>
    <mergeCell ref="Q98:Q99"/>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J104:J105"/>
    <mergeCell ref="P104:P105"/>
    <mergeCell ref="V104:V105"/>
    <mergeCell ref="AB104:AB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J114:J115"/>
    <mergeCell ref="P114:P115"/>
    <mergeCell ref="V114:V115"/>
    <mergeCell ref="AB114:AB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AE118:AE119"/>
    <mergeCell ref="AF118:AF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0:AD121"/>
    <mergeCell ref="AE120:AE121"/>
    <mergeCell ref="AF120:AF121"/>
    <mergeCell ref="E118:E119"/>
    <mergeCell ref="F118:F119"/>
    <mergeCell ref="G118:G119"/>
    <mergeCell ref="H118:H119"/>
    <mergeCell ref="K118:K119"/>
    <mergeCell ref="L118:L119"/>
    <mergeCell ref="M118:M119"/>
    <mergeCell ref="N118:N119"/>
    <mergeCell ref="Q118:Q119"/>
    <mergeCell ref="R118:R119"/>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AD118:AD119"/>
    <mergeCell ref="S118:S119"/>
    <mergeCell ref="T118:T119"/>
    <mergeCell ref="W118:W119"/>
    <mergeCell ref="X118:X119"/>
    <mergeCell ref="Y118:Y119"/>
    <mergeCell ref="Z118:Z119"/>
    <mergeCell ref="AC118:AC119"/>
    <mergeCell ref="J122:J123"/>
    <mergeCell ref="P122:P123"/>
    <mergeCell ref="V122:V123"/>
    <mergeCell ref="AB122:AB123"/>
    <mergeCell ref="R155:R156"/>
    <mergeCell ref="S155:S156"/>
    <mergeCell ref="T155:T156"/>
    <mergeCell ref="W155:W156"/>
    <mergeCell ref="X155:X156"/>
    <mergeCell ref="Y155:Y156"/>
    <mergeCell ref="Z155:Z156"/>
    <mergeCell ref="AC155:AC156"/>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AD155:AD156"/>
    <mergeCell ref="AE155:AE156"/>
    <mergeCell ref="AF155:AF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AD157:AD158"/>
    <mergeCell ref="AE157:AE158"/>
    <mergeCell ref="AF157:AF158"/>
    <mergeCell ref="E155:E156"/>
    <mergeCell ref="F155:F156"/>
    <mergeCell ref="G155:G156"/>
    <mergeCell ref="H155:H156"/>
    <mergeCell ref="K155:K156"/>
    <mergeCell ref="L155:L156"/>
    <mergeCell ref="M155:M156"/>
    <mergeCell ref="N155:N156"/>
    <mergeCell ref="Q155:Q156"/>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P177:P178"/>
    <mergeCell ref="V177:V178"/>
    <mergeCell ref="AB177:AB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J185:J186"/>
    <mergeCell ref="P185:P186"/>
    <mergeCell ref="V185:V186"/>
    <mergeCell ref="AB185:AB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T247:T248"/>
    <mergeCell ref="W247:W248"/>
    <mergeCell ref="X247:X248"/>
    <mergeCell ref="Y247:Y248"/>
    <mergeCell ref="Z247:Z248"/>
    <mergeCell ref="AC247:AC248"/>
    <mergeCell ref="AD243:AD244"/>
    <mergeCell ref="AE243:AE244"/>
    <mergeCell ref="AF243:AF244"/>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AD245:AD246"/>
    <mergeCell ref="AE245:AE246"/>
    <mergeCell ref="AF245:AF246"/>
    <mergeCell ref="E243:E244"/>
    <mergeCell ref="F243:F244"/>
    <mergeCell ref="G243:G244"/>
    <mergeCell ref="AD247:AD248"/>
    <mergeCell ref="AE247:AE248"/>
    <mergeCell ref="AF247:AF248"/>
    <mergeCell ref="E249:E250"/>
    <mergeCell ref="F249:F250"/>
    <mergeCell ref="G249:G250"/>
    <mergeCell ref="H249:H250"/>
    <mergeCell ref="K249:K250"/>
    <mergeCell ref="L249:L250"/>
    <mergeCell ref="M249:M250"/>
    <mergeCell ref="N249:N250"/>
    <mergeCell ref="Q249:Q250"/>
    <mergeCell ref="W249:W250"/>
    <mergeCell ref="X249:X250"/>
    <mergeCell ref="Y249:Y250"/>
    <mergeCell ref="Z249:Z250"/>
    <mergeCell ref="AC249:AC250"/>
    <mergeCell ref="AD249:AD250"/>
    <mergeCell ref="AB249:AB250"/>
    <mergeCell ref="AE249:AE250"/>
    <mergeCell ref="AF249:AF250"/>
    <mergeCell ref="E247:E248"/>
    <mergeCell ref="F247:F248"/>
    <mergeCell ref="G247:G248"/>
    <mergeCell ref="H247:H248"/>
    <mergeCell ref="K247:K248"/>
    <mergeCell ref="L247:L248"/>
    <mergeCell ref="M247:M248"/>
    <mergeCell ref="N247:N248"/>
    <mergeCell ref="Q247:Q248"/>
    <mergeCell ref="R247:R248"/>
    <mergeCell ref="S247:S248"/>
    <mergeCell ref="Y253:Y254"/>
    <mergeCell ref="Z253:Z254"/>
    <mergeCell ref="AC253:AC254"/>
    <mergeCell ref="AD253:AD254"/>
    <mergeCell ref="AE253:AE254"/>
    <mergeCell ref="AF253:AF254"/>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E198:E199"/>
    <mergeCell ref="F198:F199"/>
    <mergeCell ref="G198:G199"/>
    <mergeCell ref="H198:H199"/>
    <mergeCell ref="E200:E201"/>
    <mergeCell ref="F200:F201"/>
    <mergeCell ref="G200:G201"/>
    <mergeCell ref="H200:H201"/>
    <mergeCell ref="E202:E203"/>
    <mergeCell ref="F202:F203"/>
    <mergeCell ref="G202:G203"/>
    <mergeCell ref="H202:H203"/>
    <mergeCell ref="H204:H205"/>
    <mergeCell ref="AD251:AD252"/>
    <mergeCell ref="AE251:AE252"/>
    <mergeCell ref="AF251:AF252"/>
    <mergeCell ref="E253:E254"/>
    <mergeCell ref="F253:F254"/>
    <mergeCell ref="G253:G254"/>
    <mergeCell ref="H253:H254"/>
    <mergeCell ref="K253:K254"/>
    <mergeCell ref="L253:L254"/>
    <mergeCell ref="J253:J254"/>
    <mergeCell ref="M253:M254"/>
    <mergeCell ref="N253:N254"/>
    <mergeCell ref="Q253:Q254"/>
    <mergeCell ref="R253:R254"/>
    <mergeCell ref="S253:S254"/>
    <mergeCell ref="T253:T254"/>
    <mergeCell ref="P253:P254"/>
    <mergeCell ref="W253:W254"/>
    <mergeCell ref="X253:X254"/>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K200:K201"/>
    <mergeCell ref="L200:L201"/>
    <mergeCell ref="K204:K205"/>
    <mergeCell ref="L204:L205"/>
    <mergeCell ref="K198:K199"/>
    <mergeCell ref="L198:L199"/>
    <mergeCell ref="K202:K203"/>
    <mergeCell ref="L202:L203"/>
    <mergeCell ref="K206:K207"/>
    <mergeCell ref="L206:L207"/>
    <mergeCell ref="K208:K209"/>
    <mergeCell ref="L208:L209"/>
    <mergeCell ref="K210:K211"/>
    <mergeCell ref="L210:L211"/>
    <mergeCell ref="E196:E197"/>
    <mergeCell ref="F196:F197"/>
    <mergeCell ref="G196:G197"/>
    <mergeCell ref="H196:H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E213:E214"/>
    <mergeCell ref="F213:F214"/>
    <mergeCell ref="G213:G214"/>
    <mergeCell ref="H213:H214"/>
    <mergeCell ref="E215:E216"/>
    <mergeCell ref="F215:F216"/>
    <mergeCell ref="G215:G216"/>
    <mergeCell ref="H215:H216"/>
    <mergeCell ref="E217:E218"/>
    <mergeCell ref="F217:F218"/>
    <mergeCell ref="G217:G218"/>
    <mergeCell ref="H217:H218"/>
    <mergeCell ref="K213:K214"/>
    <mergeCell ref="L213:L214"/>
    <mergeCell ref="K215:K216"/>
    <mergeCell ref="L215:L216"/>
    <mergeCell ref="K217:K218"/>
    <mergeCell ref="L217:L218"/>
    <mergeCell ref="N217:N218"/>
    <mergeCell ref="Q213:Q214"/>
    <mergeCell ref="R213:R214"/>
    <mergeCell ref="S213:S214"/>
    <mergeCell ref="T213:T214"/>
    <mergeCell ref="Q215:Q216"/>
    <mergeCell ref="R215:R216"/>
    <mergeCell ref="S215:S216"/>
    <mergeCell ref="W215:W216"/>
    <mergeCell ref="X215:X216"/>
    <mergeCell ref="Y215:Y216"/>
    <mergeCell ref="Z215:Z216"/>
    <mergeCell ref="W213:W214"/>
    <mergeCell ref="X213:X214"/>
    <mergeCell ref="Y213:Y214"/>
    <mergeCell ref="AC217:AC218"/>
    <mergeCell ref="AD217:AD218"/>
    <mergeCell ref="AE217:AE218"/>
    <mergeCell ref="AF217:AF218"/>
    <mergeCell ref="AC213:AC214"/>
    <mergeCell ref="AD213:AD214"/>
    <mergeCell ref="AE213:AE214"/>
    <mergeCell ref="AF213:AF214"/>
    <mergeCell ref="AC215:AC216"/>
    <mergeCell ref="AD215:AD216"/>
  </mergeCells>
  <pageMargins left="0.36" right="0.31" top="0.3" bottom="0.25" header="0.24" footer="0.21"/>
  <pageSetup paperSize="9" scale="90"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CDCCB-29D9-44E3-B13E-0807914F4EED}">
  <sheetPr>
    <pageSetUpPr fitToPage="1"/>
  </sheetPr>
  <dimension ref="A1:AH285"/>
  <sheetViews>
    <sheetView zoomScale="90" zoomScaleNormal="90" workbookViewId="0">
      <pane ySplit="12" topLeftCell="A137" activePane="bottomLeft" state="frozen"/>
      <selection activeCell="B67" sqref="B67:C68"/>
      <selection pane="bottomLeft" activeCell="E125" sqref="E125:AH151"/>
    </sheetView>
  </sheetViews>
  <sheetFormatPr defaultColWidth="9.109375" defaultRowHeight="10.199999999999999" x14ac:dyDescent="0.2"/>
  <cols>
    <col min="1" max="1" width="5.5546875" style="11" customWidth="1"/>
    <col min="2" max="2" width="35.77734375" style="11" customWidth="1"/>
    <col min="3" max="3" width="5" style="11" customWidth="1"/>
    <col min="4" max="4" width="4.33203125" style="11" customWidth="1"/>
    <col min="5" max="34" width="4.77734375" style="11" customWidth="1"/>
    <col min="35" max="16384" width="9.109375" style="11"/>
  </cols>
  <sheetData>
    <row r="1" spans="1:34" x14ac:dyDescent="0.2">
      <c r="A1" s="165"/>
      <c r="B1" s="165"/>
      <c r="C1" s="165"/>
      <c r="D1" s="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x14ac:dyDescent="0.2">
      <c r="A2" s="485" t="s">
        <v>51</v>
      </c>
      <c r="B2" s="485"/>
      <c r="C2" s="485"/>
      <c r="D2" s="326"/>
      <c r="E2" s="326"/>
      <c r="F2" s="326"/>
      <c r="G2" s="326"/>
      <c r="H2" s="326"/>
      <c r="I2" s="326"/>
      <c r="J2" s="326"/>
      <c r="K2" s="326"/>
      <c r="L2" s="326"/>
      <c r="M2" s="2"/>
      <c r="N2" s="170"/>
      <c r="O2" s="171"/>
      <c r="P2" s="2"/>
      <c r="Q2" s="2"/>
      <c r="R2" s="2"/>
      <c r="S2" s="2"/>
      <c r="T2" s="2"/>
      <c r="U2" s="2"/>
      <c r="V2" s="2"/>
      <c r="W2" s="2"/>
      <c r="X2" s="2"/>
      <c r="Y2" s="2"/>
      <c r="Z2" s="2"/>
      <c r="AA2" s="2"/>
      <c r="AB2" s="2"/>
      <c r="AC2" s="2"/>
      <c r="AD2" s="2"/>
      <c r="AE2" s="2"/>
      <c r="AF2" s="2"/>
      <c r="AG2" s="2"/>
      <c r="AH2" s="2"/>
    </row>
    <row r="3" spans="1:34" x14ac:dyDescent="0.2">
      <c r="A3" s="485" t="s">
        <v>50</v>
      </c>
      <c r="B3" s="485"/>
      <c r="C3" s="485"/>
      <c r="D3" s="326"/>
      <c r="E3" s="326"/>
      <c r="F3" s="326"/>
      <c r="G3" s="326"/>
      <c r="H3" s="326"/>
      <c r="I3" s="326"/>
      <c r="J3" s="326"/>
      <c r="K3" s="326"/>
      <c r="L3" s="326"/>
      <c r="M3" s="2"/>
      <c r="N3" s="482"/>
      <c r="O3" s="483"/>
      <c r="P3" s="2"/>
      <c r="Q3" s="2"/>
      <c r="R3" s="2"/>
      <c r="S3" s="2"/>
      <c r="T3" s="2"/>
      <c r="U3" s="2"/>
      <c r="V3" s="2"/>
      <c r="W3" s="2"/>
      <c r="X3" s="2"/>
      <c r="Y3" s="2"/>
      <c r="Z3" s="2"/>
      <c r="AA3" s="2"/>
      <c r="AB3" s="2"/>
      <c r="AC3" s="2"/>
      <c r="AD3" s="2"/>
      <c r="AE3" s="2"/>
      <c r="AF3" s="2"/>
      <c r="AG3" s="2"/>
      <c r="AH3" s="2"/>
    </row>
    <row r="4" spans="1:34" x14ac:dyDescent="0.2">
      <c r="A4" s="485" t="s">
        <v>70</v>
      </c>
      <c r="B4" s="485"/>
      <c r="C4" s="485"/>
      <c r="D4" s="12"/>
      <c r="E4" s="2"/>
      <c r="F4" s="2"/>
      <c r="G4" s="2"/>
      <c r="H4" s="2"/>
      <c r="I4" s="2"/>
      <c r="J4" s="169"/>
      <c r="K4" s="2"/>
      <c r="L4" s="2"/>
      <c r="M4" s="2"/>
      <c r="N4" s="482"/>
      <c r="O4" s="483"/>
      <c r="P4" s="2"/>
      <c r="Q4" s="2"/>
      <c r="R4" s="2"/>
      <c r="S4" s="2"/>
      <c r="T4" s="2"/>
      <c r="U4" s="2"/>
      <c r="V4" s="2"/>
      <c r="W4" s="2"/>
      <c r="X4" s="2"/>
      <c r="Y4" s="2"/>
      <c r="Z4" s="2"/>
      <c r="AA4" s="2"/>
      <c r="AB4" s="2"/>
      <c r="AC4" s="2"/>
      <c r="AD4" s="2"/>
      <c r="AE4" s="2"/>
      <c r="AF4" s="2"/>
      <c r="AG4" s="2"/>
      <c r="AH4" s="2"/>
    </row>
    <row r="5" spans="1:34" x14ac:dyDescent="0.2">
      <c r="A5" s="486" t="s">
        <v>148</v>
      </c>
      <c r="B5" s="269"/>
      <c r="C5" s="173"/>
      <c r="D5" s="14"/>
      <c r="E5" s="2"/>
      <c r="F5" s="2"/>
      <c r="G5" s="2"/>
      <c r="H5" s="2"/>
      <c r="I5" s="2"/>
      <c r="J5" s="169"/>
      <c r="K5" s="2"/>
      <c r="L5" s="2"/>
      <c r="M5" s="2"/>
      <c r="N5" s="482"/>
      <c r="O5" s="483"/>
      <c r="P5" s="2"/>
      <c r="Q5" s="2"/>
      <c r="R5" s="4"/>
      <c r="S5" s="2"/>
      <c r="T5" s="2"/>
      <c r="U5" s="2"/>
      <c r="V5" s="2"/>
      <c r="W5" s="2" t="s">
        <v>74</v>
      </c>
      <c r="X5" s="2"/>
      <c r="Y5" s="484"/>
      <c r="Z5" s="2"/>
      <c r="AA5" s="2"/>
      <c r="AB5" s="2"/>
      <c r="AC5" s="2" t="s">
        <v>74</v>
      </c>
      <c r="AD5" s="2"/>
      <c r="AE5" s="2"/>
      <c r="AF5" s="2"/>
      <c r="AG5" s="2"/>
      <c r="AH5" s="2"/>
    </row>
    <row r="6" spans="1:34" x14ac:dyDescent="0.2">
      <c r="A6" s="486" t="s">
        <v>154</v>
      </c>
      <c r="B6" s="269"/>
      <c r="C6" s="174"/>
      <c r="D6" s="9"/>
      <c r="E6" s="2"/>
      <c r="F6" s="2"/>
      <c r="G6" s="2"/>
      <c r="H6" s="2"/>
      <c r="I6" s="5"/>
      <c r="J6" s="169"/>
      <c r="K6" s="2"/>
      <c r="L6" s="2"/>
      <c r="M6" s="2"/>
      <c r="N6" s="170"/>
      <c r="O6" s="171"/>
      <c r="P6" s="2"/>
      <c r="Q6" s="2"/>
      <c r="R6" s="2"/>
      <c r="S6" s="2"/>
      <c r="T6" s="2"/>
      <c r="U6" s="5"/>
      <c r="V6" s="5"/>
      <c r="W6" s="2"/>
      <c r="X6" s="2"/>
      <c r="Y6" s="484"/>
      <c r="Z6" s="2"/>
      <c r="AA6" s="5"/>
      <c r="AB6" s="5"/>
      <c r="AC6" s="2"/>
      <c r="AD6" s="2"/>
      <c r="AE6" s="2"/>
      <c r="AF6" s="2"/>
      <c r="AG6" s="5"/>
      <c r="AH6" s="5"/>
    </row>
    <row r="7" spans="1:34" x14ac:dyDescent="0.2">
      <c r="A7" s="481"/>
      <c r="B7" s="481"/>
      <c r="C7" s="481"/>
      <c r="I7" s="2"/>
      <c r="J7" s="2"/>
      <c r="N7" s="170"/>
      <c r="O7" s="171"/>
      <c r="P7" s="2"/>
      <c r="U7" s="2"/>
      <c r="V7" s="2"/>
      <c r="AA7" s="2"/>
      <c r="AB7" s="2"/>
      <c r="AG7" s="2"/>
      <c r="AH7" s="2"/>
    </row>
    <row r="8" spans="1:34" x14ac:dyDescent="0.2">
      <c r="A8" s="481" t="s">
        <v>173</v>
      </c>
      <c r="B8" s="481"/>
      <c r="C8" s="481"/>
      <c r="D8" s="326"/>
      <c r="E8" s="326"/>
      <c r="F8" s="326"/>
      <c r="G8" s="326"/>
      <c r="H8" s="326"/>
      <c r="I8" s="326"/>
      <c r="J8" s="326"/>
      <c r="K8" s="326"/>
      <c r="L8" s="326"/>
      <c r="M8" s="326"/>
      <c r="N8" s="326"/>
      <c r="O8" s="326"/>
      <c r="P8" s="2"/>
      <c r="U8" s="2"/>
      <c r="V8" s="2"/>
      <c r="AA8" s="2"/>
      <c r="AB8" s="2"/>
      <c r="AG8" s="2"/>
      <c r="AH8" s="2"/>
    </row>
    <row r="9" spans="1:34" x14ac:dyDescent="0.2">
      <c r="A9" s="174"/>
      <c r="B9" s="174"/>
      <c r="C9" s="174"/>
      <c r="D9" s="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spans="1:34" x14ac:dyDescent="0.2">
      <c r="A10" s="176"/>
      <c r="B10" s="502" t="s">
        <v>38</v>
      </c>
      <c r="C10" s="470"/>
      <c r="D10" s="18" t="s">
        <v>117</v>
      </c>
      <c r="E10" s="470">
        <v>2026</v>
      </c>
      <c r="F10" s="470"/>
      <c r="G10" s="470"/>
      <c r="H10" s="470"/>
      <c r="I10" s="460"/>
      <c r="J10" s="179"/>
      <c r="K10" s="470">
        <v>2027</v>
      </c>
      <c r="L10" s="470"/>
      <c r="M10" s="470"/>
      <c r="N10" s="470"/>
      <c r="O10" s="460"/>
      <c r="P10" s="251"/>
      <c r="Q10" s="470">
        <v>2028</v>
      </c>
      <c r="R10" s="470"/>
      <c r="S10" s="470"/>
      <c r="T10" s="470"/>
      <c r="U10" s="460"/>
      <c r="V10" s="251"/>
      <c r="W10" s="470">
        <v>2029</v>
      </c>
      <c r="X10" s="470"/>
      <c r="Y10" s="470"/>
      <c r="Z10" s="470"/>
      <c r="AA10" s="460"/>
      <c r="AB10" s="179"/>
      <c r="AC10" s="470">
        <v>2030</v>
      </c>
      <c r="AD10" s="470"/>
      <c r="AE10" s="470"/>
      <c r="AF10" s="470"/>
      <c r="AG10" s="460"/>
      <c r="AH10" s="179"/>
    </row>
    <row r="11" spans="1:34" x14ac:dyDescent="0.2">
      <c r="A11" s="176"/>
      <c r="B11" s="502"/>
      <c r="C11" s="470"/>
      <c r="D11" s="20"/>
      <c r="E11" s="470" t="s">
        <v>93</v>
      </c>
      <c r="F11" s="470"/>
      <c r="G11" s="460"/>
      <c r="H11" s="460"/>
      <c r="I11" s="460"/>
      <c r="J11" s="251"/>
      <c r="K11" s="470" t="s">
        <v>93</v>
      </c>
      <c r="L11" s="470"/>
      <c r="M11" s="460"/>
      <c r="N11" s="460"/>
      <c r="O11" s="460"/>
      <c r="P11" s="179"/>
      <c r="Q11" s="470" t="s">
        <v>93</v>
      </c>
      <c r="R11" s="470"/>
      <c r="S11" s="460"/>
      <c r="T11" s="460"/>
      <c r="U11" s="460"/>
      <c r="V11" s="179"/>
      <c r="W11" s="470" t="s">
        <v>93</v>
      </c>
      <c r="X11" s="470"/>
      <c r="Y11" s="460"/>
      <c r="Z11" s="460"/>
      <c r="AA11" s="460"/>
      <c r="AB11" s="179"/>
      <c r="AC11" s="470" t="s">
        <v>93</v>
      </c>
      <c r="AD11" s="470"/>
      <c r="AE11" s="460"/>
      <c r="AF11" s="460"/>
      <c r="AG11" s="460"/>
      <c r="AH11" s="179"/>
    </row>
    <row r="12" spans="1:34" x14ac:dyDescent="0.2">
      <c r="A12" s="176"/>
      <c r="B12" s="502"/>
      <c r="C12" s="470"/>
      <c r="D12" s="20"/>
      <c r="E12" s="176" t="s">
        <v>1</v>
      </c>
      <c r="F12" s="176" t="s">
        <v>2</v>
      </c>
      <c r="G12" s="176" t="s">
        <v>3</v>
      </c>
      <c r="H12" s="176" t="s">
        <v>4</v>
      </c>
      <c r="I12" s="180" t="s">
        <v>5</v>
      </c>
      <c r="J12" s="180" t="s">
        <v>112</v>
      </c>
      <c r="K12" s="176" t="s">
        <v>1</v>
      </c>
      <c r="L12" s="176" t="s">
        <v>2</v>
      </c>
      <c r="M12" s="176" t="s">
        <v>3</v>
      </c>
      <c r="N12" s="176" t="s">
        <v>4</v>
      </c>
      <c r="O12" s="180" t="s">
        <v>5</v>
      </c>
      <c r="P12" s="180" t="s">
        <v>119</v>
      </c>
      <c r="Q12" s="176" t="s">
        <v>1</v>
      </c>
      <c r="R12" s="176" t="s">
        <v>2</v>
      </c>
      <c r="S12" s="176" t="s">
        <v>3</v>
      </c>
      <c r="T12" s="176" t="s">
        <v>4</v>
      </c>
      <c r="U12" s="180" t="s">
        <v>5</v>
      </c>
      <c r="V12" s="180" t="s">
        <v>121</v>
      </c>
      <c r="W12" s="176" t="s">
        <v>1</v>
      </c>
      <c r="X12" s="176" t="s">
        <v>2</v>
      </c>
      <c r="Y12" s="176" t="s">
        <v>3</v>
      </c>
      <c r="Z12" s="176" t="s">
        <v>4</v>
      </c>
      <c r="AA12" s="180" t="s">
        <v>5</v>
      </c>
      <c r="AB12" s="180" t="s">
        <v>122</v>
      </c>
      <c r="AC12" s="176" t="s">
        <v>1</v>
      </c>
      <c r="AD12" s="176" t="s">
        <v>2</v>
      </c>
      <c r="AE12" s="176" t="s">
        <v>3</v>
      </c>
      <c r="AF12" s="176" t="s">
        <v>4</v>
      </c>
      <c r="AG12" s="180" t="s">
        <v>5</v>
      </c>
      <c r="AH12" s="180" t="s">
        <v>123</v>
      </c>
    </row>
    <row r="13" spans="1:34" x14ac:dyDescent="0.2">
      <c r="A13" s="178">
        <v>0</v>
      </c>
      <c r="B13" s="178">
        <v>1</v>
      </c>
      <c r="C13" s="178">
        <v>2</v>
      </c>
      <c r="D13" s="22">
        <v>3</v>
      </c>
      <c r="E13" s="178" t="s">
        <v>113</v>
      </c>
      <c r="F13" s="178" t="s">
        <v>114</v>
      </c>
      <c r="G13" s="178" t="s">
        <v>115</v>
      </c>
      <c r="H13" s="178" t="s">
        <v>116</v>
      </c>
      <c r="I13" s="178"/>
      <c r="J13" s="178"/>
      <c r="K13" s="178" t="s">
        <v>113</v>
      </c>
      <c r="L13" s="178" t="s">
        <v>114</v>
      </c>
      <c r="M13" s="178" t="s">
        <v>115</v>
      </c>
      <c r="N13" s="178" t="s">
        <v>116</v>
      </c>
      <c r="O13" s="178"/>
      <c r="P13" s="178"/>
      <c r="Q13" s="178" t="s">
        <v>113</v>
      </c>
      <c r="R13" s="178" t="s">
        <v>114</v>
      </c>
      <c r="S13" s="178" t="s">
        <v>115</v>
      </c>
      <c r="T13" s="178" t="s">
        <v>116</v>
      </c>
      <c r="U13" s="178"/>
      <c r="V13" s="178"/>
      <c r="W13" s="178" t="s">
        <v>113</v>
      </c>
      <c r="X13" s="178" t="s">
        <v>114</v>
      </c>
      <c r="Y13" s="178" t="s">
        <v>115</v>
      </c>
      <c r="Z13" s="178" t="s">
        <v>116</v>
      </c>
      <c r="AA13" s="178"/>
      <c r="AB13" s="178"/>
      <c r="AC13" s="178" t="s">
        <v>113</v>
      </c>
      <c r="AD13" s="178" t="s">
        <v>114</v>
      </c>
      <c r="AE13" s="178" t="s">
        <v>115</v>
      </c>
      <c r="AF13" s="178" t="s">
        <v>116</v>
      </c>
      <c r="AG13" s="178"/>
      <c r="AH13" s="178"/>
    </row>
    <row r="14" spans="1:34" ht="10.8" thickBot="1" x14ac:dyDescent="0.25">
      <c r="A14" s="176">
        <v>1.1000000000000001</v>
      </c>
      <c r="B14" s="184" t="s">
        <v>105</v>
      </c>
      <c r="C14" s="184"/>
      <c r="D14" s="20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row>
    <row r="15" spans="1:34" ht="15.75" customHeight="1" thickBot="1" x14ac:dyDescent="0.25">
      <c r="A15" s="469"/>
      <c r="B15" s="465" t="s">
        <v>92</v>
      </c>
      <c r="C15" s="476"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469"/>
      <c r="B16" s="465"/>
      <c r="C16" s="476"/>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469"/>
      <c r="B17" s="465"/>
      <c r="C17" s="476"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469"/>
      <c r="B18" s="465"/>
      <c r="C18" s="476"/>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469"/>
      <c r="B19" s="465"/>
      <c r="C19" s="476"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469"/>
      <c r="B20" s="465"/>
      <c r="C20" s="476"/>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469"/>
      <c r="B21" s="465" t="s">
        <v>80</v>
      </c>
      <c r="C21" s="476"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469"/>
      <c r="B22" s="465"/>
      <c r="C22" s="476"/>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469"/>
      <c r="B23" s="465"/>
      <c r="C23" s="476"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469"/>
      <c r="B24" s="465"/>
      <c r="C24" s="476"/>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469"/>
      <c r="B25" s="465"/>
      <c r="C25" s="476"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469"/>
      <c r="B26" s="465"/>
      <c r="C26" s="476"/>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469"/>
      <c r="B27" s="465" t="s">
        <v>81</v>
      </c>
      <c r="C27" s="476"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469"/>
      <c r="B28" s="465"/>
      <c r="C28" s="476"/>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469"/>
      <c r="B29" s="465"/>
      <c r="C29" s="476"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469"/>
      <c r="B30" s="465"/>
      <c r="C30" s="476"/>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469"/>
      <c r="B31" s="465"/>
      <c r="C31" s="476"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469"/>
      <c r="B32" s="465"/>
      <c r="C32" s="476"/>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469"/>
      <c r="B33" s="488" t="s">
        <v>79</v>
      </c>
      <c r="C33" s="476"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469"/>
      <c r="B34" s="488"/>
      <c r="C34" s="476"/>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469"/>
      <c r="B35" s="488"/>
      <c r="C35" s="475"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469"/>
      <c r="B36" s="488"/>
      <c r="C36" s="475"/>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469"/>
      <c r="B37" s="488"/>
      <c r="C37" s="476"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469"/>
      <c r="B38" s="488"/>
      <c r="C38" s="476"/>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6">
        <v>1.2</v>
      </c>
      <c r="B39" s="457" t="s">
        <v>12</v>
      </c>
      <c r="C39" s="458"/>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469"/>
      <c r="B40" s="465" t="s">
        <v>39</v>
      </c>
      <c r="C40" s="465"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469"/>
      <c r="B41" s="465"/>
      <c r="C41" s="465"/>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469"/>
      <c r="B42" s="465"/>
      <c r="C42" s="465"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469"/>
      <c r="B43" s="465"/>
      <c r="C43" s="465"/>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469"/>
      <c r="B44" s="465"/>
      <c r="C44" s="465"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469"/>
      <c r="B45" s="465"/>
      <c r="C45" s="465"/>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469"/>
      <c r="B46" s="465" t="s">
        <v>0</v>
      </c>
      <c r="C46" s="465"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469"/>
      <c r="B47" s="465"/>
      <c r="C47" s="465"/>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469"/>
      <c r="B48" s="465"/>
      <c r="C48" s="465"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469"/>
      <c r="B49" s="465"/>
      <c r="C49" s="465"/>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469"/>
      <c r="B50" s="465"/>
      <c r="C50" s="465"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469"/>
      <c r="B51" s="465"/>
      <c r="C51" s="465"/>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469"/>
      <c r="B52" s="465" t="s">
        <v>40</v>
      </c>
      <c r="C52" s="478"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469"/>
      <c r="B53" s="465"/>
      <c r="C53" s="478"/>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469"/>
      <c r="B54" s="465"/>
      <c r="C54" s="478"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469"/>
      <c r="B55" s="465"/>
      <c r="C55" s="478"/>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469"/>
      <c r="B56" s="465"/>
      <c r="C56" s="478"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469"/>
      <c r="B57" s="465"/>
      <c r="C57" s="478"/>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6">
        <v>1.3</v>
      </c>
      <c r="B58" s="457" t="s">
        <v>13</v>
      </c>
      <c r="C58" s="458"/>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469"/>
      <c r="B59" s="465" t="s">
        <v>77</v>
      </c>
      <c r="C59" s="465"/>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469"/>
      <c r="B60" s="465"/>
      <c r="C60" s="465"/>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469"/>
      <c r="B61" s="465" t="s">
        <v>118</v>
      </c>
      <c r="C61" s="465"/>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469"/>
      <c r="B62" s="465"/>
      <c r="C62" s="465"/>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469"/>
      <c r="B63" s="465" t="s">
        <v>120</v>
      </c>
      <c r="C63" s="465"/>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46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469"/>
      <c r="B65" s="465" t="s">
        <v>14</v>
      </c>
      <c r="C65" s="465"/>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469"/>
      <c r="B66" s="465"/>
      <c r="C66" s="465"/>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469"/>
      <c r="B67" s="478" t="s">
        <v>111</v>
      </c>
      <c r="C67" s="478"/>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469"/>
      <c r="B68" s="550"/>
      <c r="C68" s="5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469"/>
      <c r="B69" s="465" t="s">
        <v>15</v>
      </c>
      <c r="C69" s="465"/>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469"/>
      <c r="B70" s="465"/>
      <c r="C70" s="465"/>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489" t="s">
        <v>124</v>
      </c>
      <c r="C71" s="489"/>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489"/>
      <c r="C72" s="489"/>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6">
        <v>1.4</v>
      </c>
      <c r="B73" s="457" t="s">
        <v>16</v>
      </c>
      <c r="C73" s="458"/>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469"/>
      <c r="B74" s="465" t="s">
        <v>17</v>
      </c>
      <c r="C74" s="465"/>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469"/>
      <c r="B75" s="465"/>
      <c r="C75" s="465"/>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469"/>
      <c r="B76" s="477" t="s">
        <v>82</v>
      </c>
      <c r="C76" s="477"/>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ht="15" customHeight="1" x14ac:dyDescent="0.2">
      <c r="A77" s="469"/>
      <c r="B77" s="477" t="s">
        <v>83</v>
      </c>
      <c r="C77" s="477"/>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469"/>
      <c r="B78" s="465" t="s">
        <v>18</v>
      </c>
      <c r="C78" s="465"/>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469"/>
      <c r="B79" s="465"/>
      <c r="C79" s="465"/>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6">
        <v>1.5</v>
      </c>
      <c r="B80" s="457" t="s">
        <v>19</v>
      </c>
      <c r="C80" s="458"/>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189" t="s">
        <v>41</v>
      </c>
      <c r="B81" s="462" t="s">
        <v>20</v>
      </c>
      <c r="C81" s="462"/>
      <c r="D81" s="204"/>
      <c r="E81" s="184"/>
      <c r="F81" s="184"/>
      <c r="G81" s="184"/>
      <c r="H81" s="184"/>
      <c r="I81" s="202"/>
      <c r="J81" s="202"/>
      <c r="K81" s="184"/>
      <c r="L81" s="184"/>
      <c r="M81" s="184"/>
      <c r="N81" s="184"/>
      <c r="O81" s="202"/>
      <c r="P81" s="202"/>
      <c r="Q81" s="184"/>
      <c r="R81" s="184"/>
      <c r="S81" s="184"/>
      <c r="T81" s="184"/>
      <c r="U81" s="202"/>
      <c r="V81" s="202"/>
      <c r="W81" s="184"/>
      <c r="X81" s="184"/>
      <c r="Y81" s="184"/>
      <c r="Z81" s="184"/>
      <c r="AA81" s="202"/>
      <c r="AB81" s="202"/>
      <c r="AC81" s="184"/>
      <c r="AD81" s="184"/>
      <c r="AE81" s="184"/>
      <c r="AF81" s="184"/>
      <c r="AG81" s="202"/>
      <c r="AH81" s="202"/>
    </row>
    <row r="82" spans="1:34" ht="27.75" customHeight="1" x14ac:dyDescent="0.2">
      <c r="A82" s="469"/>
      <c r="B82" s="182" t="s">
        <v>95</v>
      </c>
      <c r="C82" s="34"/>
      <c r="D82" s="24" t="s">
        <v>135</v>
      </c>
      <c r="E82" s="190">
        <v>2</v>
      </c>
      <c r="F82" s="190">
        <v>2</v>
      </c>
      <c r="G82" s="190">
        <v>2</v>
      </c>
      <c r="H82" s="190">
        <v>2</v>
      </c>
      <c r="I82" s="190"/>
      <c r="J82" s="190">
        <v>8</v>
      </c>
      <c r="K82" s="190">
        <v>2</v>
      </c>
      <c r="L82" s="190">
        <v>2</v>
      </c>
      <c r="M82" s="190">
        <v>2</v>
      </c>
      <c r="N82" s="190">
        <v>2</v>
      </c>
      <c r="O82" s="191"/>
      <c r="P82" s="190">
        <v>8</v>
      </c>
      <c r="Q82" s="190">
        <v>2</v>
      </c>
      <c r="R82" s="190">
        <v>2</v>
      </c>
      <c r="S82" s="190">
        <v>2</v>
      </c>
      <c r="T82" s="190">
        <v>2</v>
      </c>
      <c r="U82" s="190"/>
      <c r="V82" s="190">
        <v>8</v>
      </c>
      <c r="W82" s="190">
        <v>2</v>
      </c>
      <c r="X82" s="190">
        <v>2</v>
      </c>
      <c r="Y82" s="190">
        <v>2</v>
      </c>
      <c r="Z82" s="190">
        <v>2</v>
      </c>
      <c r="AA82" s="191"/>
      <c r="AB82" s="190">
        <v>8</v>
      </c>
      <c r="AC82" s="190">
        <v>2</v>
      </c>
      <c r="AD82" s="190">
        <v>2</v>
      </c>
      <c r="AE82" s="190">
        <v>2</v>
      </c>
      <c r="AF82" s="190">
        <v>2</v>
      </c>
      <c r="AG82" s="190"/>
      <c r="AH82" s="190">
        <v>8</v>
      </c>
    </row>
    <row r="83" spans="1:34" ht="15.75" customHeight="1" x14ac:dyDescent="0.2">
      <c r="A83" s="469"/>
      <c r="B83" s="465" t="s">
        <v>84</v>
      </c>
      <c r="C83" s="476"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469"/>
      <c r="B84" s="465"/>
      <c r="C84" s="476"/>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469"/>
      <c r="B85" s="465"/>
      <c r="C85" s="476"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469"/>
      <c r="B86" s="465"/>
      <c r="C86" s="476"/>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469"/>
      <c r="B87" s="465"/>
      <c r="C87" s="476"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469"/>
      <c r="B88" s="465"/>
      <c r="C88" s="476"/>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469"/>
      <c r="B89" s="465" t="s">
        <v>96</v>
      </c>
      <c r="C89" s="476"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46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469"/>
      <c r="B91" s="479"/>
      <c r="C91" s="476"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46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469"/>
      <c r="B93" s="479"/>
      <c r="C93" s="476"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46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469"/>
      <c r="B95" s="465" t="s">
        <v>97</v>
      </c>
      <c r="C95" s="265"/>
      <c r="D95" s="24" t="s">
        <v>135</v>
      </c>
      <c r="E95" s="206">
        <v>2</v>
      </c>
      <c r="F95" s="206">
        <v>2</v>
      </c>
      <c r="G95" s="206">
        <v>2</v>
      </c>
      <c r="H95" s="206">
        <v>4</v>
      </c>
      <c r="I95" s="190"/>
      <c r="J95" s="190">
        <v>10</v>
      </c>
      <c r="K95" s="206">
        <v>2</v>
      </c>
      <c r="L95" s="206">
        <v>2</v>
      </c>
      <c r="M95" s="206">
        <v>2</v>
      </c>
      <c r="N95" s="206">
        <v>4</v>
      </c>
      <c r="O95" s="190"/>
      <c r="P95" s="190">
        <v>10</v>
      </c>
      <c r="Q95" s="206">
        <v>2</v>
      </c>
      <c r="R95" s="206">
        <v>2</v>
      </c>
      <c r="S95" s="206">
        <v>2</v>
      </c>
      <c r="T95" s="206">
        <v>4</v>
      </c>
      <c r="U95" s="190"/>
      <c r="V95" s="190">
        <v>10</v>
      </c>
      <c r="W95" s="206">
        <v>2</v>
      </c>
      <c r="X95" s="206">
        <v>2</v>
      </c>
      <c r="Y95" s="206">
        <v>2</v>
      </c>
      <c r="Z95" s="206">
        <v>4</v>
      </c>
      <c r="AA95" s="206"/>
      <c r="AB95" s="190">
        <v>10</v>
      </c>
      <c r="AC95" s="206">
        <v>2</v>
      </c>
      <c r="AD95" s="206">
        <v>2</v>
      </c>
      <c r="AE95" s="206">
        <v>2</v>
      </c>
      <c r="AF95" s="206">
        <v>4</v>
      </c>
      <c r="AG95" s="190"/>
      <c r="AH95" s="190">
        <v>10</v>
      </c>
    </row>
    <row r="96" spans="1:34" ht="15.75" customHeight="1" x14ac:dyDescent="0.2">
      <c r="A96" s="469"/>
      <c r="B96" s="465" t="s">
        <v>85</v>
      </c>
      <c r="C96" s="476"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469"/>
      <c r="B97" s="465"/>
      <c r="C97" s="476"/>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469"/>
      <c r="B98" s="465"/>
      <c r="C98" s="476"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469"/>
      <c r="B99" s="465"/>
      <c r="C99" s="476"/>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469"/>
      <c r="B100" s="465"/>
      <c r="C100" s="476"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469"/>
      <c r="B101" s="465"/>
      <c r="C101" s="476"/>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469"/>
      <c r="B102" s="465" t="s">
        <v>98</v>
      </c>
      <c r="C102" s="476"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469"/>
      <c r="B103" s="265"/>
      <c r="C103" s="552"/>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469"/>
      <c r="B104" s="265"/>
      <c r="C104" s="469"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46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469"/>
      <c r="B106" s="265"/>
      <c r="C106" s="469"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46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6" t="s">
        <v>21</v>
      </c>
      <c r="B108" s="462" t="s">
        <v>22</v>
      </c>
      <c r="C108" s="462"/>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51"/>
      <c r="B109" s="205" t="s">
        <v>23</v>
      </c>
      <c r="C109" s="205"/>
      <c r="D109" s="24" t="s">
        <v>135</v>
      </c>
      <c r="E109" s="206">
        <v>2</v>
      </c>
      <c r="F109" s="206">
        <v>2</v>
      </c>
      <c r="G109" s="206">
        <v>2</v>
      </c>
      <c r="H109" s="206">
        <v>4</v>
      </c>
      <c r="I109" s="190"/>
      <c r="J109" s="190">
        <v>10</v>
      </c>
      <c r="K109" s="206">
        <v>2</v>
      </c>
      <c r="L109" s="206">
        <v>2</v>
      </c>
      <c r="M109" s="206">
        <v>2</v>
      </c>
      <c r="N109" s="206">
        <v>4</v>
      </c>
      <c r="O109" s="190"/>
      <c r="P109" s="190">
        <v>10</v>
      </c>
      <c r="Q109" s="206">
        <v>2</v>
      </c>
      <c r="R109" s="206">
        <v>2</v>
      </c>
      <c r="S109" s="206">
        <v>2</v>
      </c>
      <c r="T109" s="206">
        <v>4</v>
      </c>
      <c r="U109" s="190"/>
      <c r="V109" s="190">
        <v>10</v>
      </c>
      <c r="W109" s="206">
        <v>2</v>
      </c>
      <c r="X109" s="206">
        <v>2</v>
      </c>
      <c r="Y109" s="206">
        <v>2</v>
      </c>
      <c r="Z109" s="206">
        <v>4</v>
      </c>
      <c r="AA109" s="206"/>
      <c r="AB109" s="190">
        <v>10</v>
      </c>
      <c r="AC109" s="206">
        <v>2</v>
      </c>
      <c r="AD109" s="206">
        <v>2</v>
      </c>
      <c r="AE109" s="206">
        <v>2</v>
      </c>
      <c r="AF109" s="206">
        <v>4</v>
      </c>
      <c r="AG109" s="190"/>
      <c r="AH109" s="190">
        <v>10</v>
      </c>
    </row>
    <row r="110" spans="1:34" x14ac:dyDescent="0.2">
      <c r="A110" s="551"/>
      <c r="B110" s="553"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51"/>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51"/>
      <c r="B112" s="465" t="s">
        <v>136</v>
      </c>
      <c r="C112" s="476"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51"/>
      <c r="B113" s="465"/>
      <c r="C113" s="476"/>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51"/>
      <c r="B114" s="465"/>
      <c r="C114" s="476"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51"/>
      <c r="B115" s="465"/>
      <c r="C115" s="476"/>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51"/>
      <c r="B116" s="465"/>
      <c r="C116" s="476"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51"/>
      <c r="B117" s="465"/>
      <c r="C117" s="476"/>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51"/>
      <c r="B118" s="465" t="s">
        <v>86</v>
      </c>
      <c r="C118" s="476"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51"/>
      <c r="B119" s="465"/>
      <c r="C119" s="476"/>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51"/>
      <c r="B120" s="465"/>
      <c r="C120" s="476"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51"/>
      <c r="B121" s="465"/>
      <c r="C121" s="476"/>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51"/>
      <c r="B122" s="465"/>
      <c r="C122" s="476"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10"/>
      <c r="B123" s="465"/>
      <c r="C123" s="476"/>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6" t="s">
        <v>24</v>
      </c>
      <c r="B124" s="498" t="s">
        <v>25</v>
      </c>
      <c r="C124" s="499"/>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469"/>
      <c r="B125" s="465" t="s">
        <v>137</v>
      </c>
      <c r="C125" s="476" t="s">
        <v>26</v>
      </c>
      <c r="D125" s="272" t="s">
        <v>78</v>
      </c>
      <c r="E125" s="187">
        <v>5.0000000000000001E-3</v>
      </c>
      <c r="F125" s="187">
        <v>5.0000000000000001E-3</v>
      </c>
      <c r="G125" s="187">
        <v>5.0000000000000001E-3</v>
      </c>
      <c r="H125" s="187">
        <v>5.0000000000000001E-3</v>
      </c>
      <c r="I125" s="188"/>
      <c r="J125" s="187">
        <v>5.0000000000000001E-3</v>
      </c>
      <c r="K125" s="187">
        <v>5.0000000000000001E-3</v>
      </c>
      <c r="L125" s="187">
        <v>5.0000000000000001E-3</v>
      </c>
      <c r="M125" s="187">
        <v>5.0000000000000001E-3</v>
      </c>
      <c r="N125" s="187">
        <v>5.0000000000000001E-3</v>
      </c>
      <c r="O125" s="188"/>
      <c r="P125" s="187">
        <v>5.0000000000000001E-3</v>
      </c>
      <c r="Q125" s="187">
        <v>5.0000000000000001E-3</v>
      </c>
      <c r="R125" s="187">
        <v>5.0000000000000001E-3</v>
      </c>
      <c r="S125" s="187">
        <v>5.0000000000000001E-3</v>
      </c>
      <c r="T125" s="187">
        <v>5.0000000000000001E-3</v>
      </c>
      <c r="U125" s="188"/>
      <c r="V125" s="187">
        <v>5.0000000000000001E-3</v>
      </c>
      <c r="W125" s="187">
        <v>5.0000000000000001E-3</v>
      </c>
      <c r="X125" s="187">
        <v>5.0000000000000001E-3</v>
      </c>
      <c r="Y125" s="187">
        <v>5.0000000000000001E-3</v>
      </c>
      <c r="Z125" s="187">
        <v>5.0000000000000001E-3</v>
      </c>
      <c r="AA125" s="188"/>
      <c r="AB125" s="187">
        <v>5.0000000000000001E-3</v>
      </c>
      <c r="AC125" s="187">
        <v>5.0000000000000001E-3</v>
      </c>
      <c r="AD125" s="187">
        <v>5.0000000000000001E-3</v>
      </c>
      <c r="AE125" s="187">
        <v>5.0000000000000001E-3</v>
      </c>
      <c r="AF125" s="187">
        <v>5.0000000000000001E-3</v>
      </c>
      <c r="AG125" s="188"/>
      <c r="AH125" s="187">
        <v>5.0000000000000001E-3</v>
      </c>
    </row>
    <row r="126" spans="1:34" ht="15.75" customHeight="1" x14ac:dyDescent="0.2">
      <c r="A126" s="469"/>
      <c r="B126" s="465"/>
      <c r="C126" s="476"/>
      <c r="D126" s="251"/>
      <c r="E126" s="187"/>
      <c r="F126" s="187"/>
      <c r="G126" s="187"/>
      <c r="H126" s="187"/>
      <c r="I126" s="188"/>
      <c r="J126" s="187"/>
      <c r="K126" s="187"/>
      <c r="L126" s="187"/>
      <c r="M126" s="187"/>
      <c r="N126" s="187"/>
      <c r="O126" s="188"/>
      <c r="P126" s="187"/>
      <c r="Q126" s="187"/>
      <c r="R126" s="187"/>
      <c r="S126" s="187"/>
      <c r="T126" s="187"/>
      <c r="U126" s="188"/>
      <c r="V126" s="187"/>
      <c r="W126" s="187"/>
      <c r="X126" s="187"/>
      <c r="Y126" s="187"/>
      <c r="Z126" s="187"/>
      <c r="AA126" s="188"/>
      <c r="AB126" s="187"/>
      <c r="AC126" s="187"/>
      <c r="AD126" s="187"/>
      <c r="AE126" s="187"/>
      <c r="AF126" s="187"/>
      <c r="AG126" s="188"/>
      <c r="AH126" s="187"/>
    </row>
    <row r="127" spans="1:34" ht="15.75" customHeight="1" x14ac:dyDescent="0.2">
      <c r="A127" s="469"/>
      <c r="B127" s="465"/>
      <c r="C127" s="476" t="s">
        <v>7</v>
      </c>
      <c r="D127" s="272" t="s">
        <v>78</v>
      </c>
      <c r="E127" s="454">
        <v>0.02</v>
      </c>
      <c r="F127" s="454">
        <v>0.02</v>
      </c>
      <c r="G127" s="454">
        <v>0.02</v>
      </c>
      <c r="H127" s="454">
        <v>0.02</v>
      </c>
      <c r="I127" s="188"/>
      <c r="J127" s="454">
        <v>0.02</v>
      </c>
      <c r="K127" s="454">
        <v>0.02</v>
      </c>
      <c r="L127" s="454">
        <v>0.02</v>
      </c>
      <c r="M127" s="454">
        <v>0.02</v>
      </c>
      <c r="N127" s="454">
        <v>0.02</v>
      </c>
      <c r="O127" s="188"/>
      <c r="P127" s="454">
        <v>0.02</v>
      </c>
      <c r="Q127" s="454">
        <v>0.02</v>
      </c>
      <c r="R127" s="454">
        <v>0.02</v>
      </c>
      <c r="S127" s="454">
        <v>0.02</v>
      </c>
      <c r="T127" s="454">
        <v>0.02</v>
      </c>
      <c r="U127" s="188"/>
      <c r="V127" s="454">
        <v>0.02</v>
      </c>
      <c r="W127" s="454">
        <v>0.02</v>
      </c>
      <c r="X127" s="454">
        <v>0.02</v>
      </c>
      <c r="Y127" s="454">
        <v>0.02</v>
      </c>
      <c r="Z127" s="454">
        <v>0.02</v>
      </c>
      <c r="AA127" s="188"/>
      <c r="AB127" s="454">
        <v>0.02</v>
      </c>
      <c r="AC127" s="454">
        <v>0.02</v>
      </c>
      <c r="AD127" s="454">
        <v>0.02</v>
      </c>
      <c r="AE127" s="454">
        <v>0.02</v>
      </c>
      <c r="AF127" s="454">
        <v>0.02</v>
      </c>
      <c r="AG127" s="188"/>
      <c r="AH127" s="454">
        <v>0.02</v>
      </c>
    </row>
    <row r="128" spans="1:34" ht="15.75" customHeight="1" x14ac:dyDescent="0.2">
      <c r="A128" s="469"/>
      <c r="B128" s="465"/>
      <c r="C128" s="476"/>
      <c r="D128" s="251"/>
      <c r="E128" s="454"/>
      <c r="F128" s="454"/>
      <c r="G128" s="454"/>
      <c r="H128" s="454"/>
      <c r="I128" s="188"/>
      <c r="J128" s="454"/>
      <c r="K128" s="454"/>
      <c r="L128" s="454"/>
      <c r="M128" s="454"/>
      <c r="N128" s="454"/>
      <c r="O128" s="188"/>
      <c r="P128" s="454"/>
      <c r="Q128" s="454"/>
      <c r="R128" s="454"/>
      <c r="S128" s="454"/>
      <c r="T128" s="454"/>
      <c r="U128" s="188"/>
      <c r="V128" s="454"/>
      <c r="W128" s="454"/>
      <c r="X128" s="454"/>
      <c r="Y128" s="454"/>
      <c r="Z128" s="454"/>
      <c r="AA128" s="188"/>
      <c r="AB128" s="454"/>
      <c r="AC128" s="454"/>
      <c r="AD128" s="454"/>
      <c r="AE128" s="454"/>
      <c r="AF128" s="454"/>
      <c r="AG128" s="188"/>
      <c r="AH128" s="454"/>
    </row>
    <row r="129" spans="1:34" ht="15.75" customHeight="1" x14ac:dyDescent="0.2">
      <c r="A129" s="469"/>
      <c r="B129" s="465"/>
      <c r="C129" s="476" t="s">
        <v>8</v>
      </c>
      <c r="D129" s="272" t="s">
        <v>78</v>
      </c>
      <c r="E129" s="454">
        <v>1.4999999999999999E-2</v>
      </c>
      <c r="F129" s="454">
        <v>1.4999999999999999E-2</v>
      </c>
      <c r="G129" s="454">
        <v>1.4999999999999999E-2</v>
      </c>
      <c r="H129" s="454">
        <v>1.4999999999999999E-2</v>
      </c>
      <c r="I129" s="188"/>
      <c r="J129" s="454">
        <v>1.4999999999999999E-2</v>
      </c>
      <c r="K129" s="454">
        <v>1.4999999999999999E-2</v>
      </c>
      <c r="L129" s="454">
        <v>1.4999999999999999E-2</v>
      </c>
      <c r="M129" s="454">
        <v>1.4999999999999999E-2</v>
      </c>
      <c r="N129" s="454">
        <v>1.4999999999999999E-2</v>
      </c>
      <c r="O129" s="188"/>
      <c r="P129" s="454">
        <v>1.4999999999999999E-2</v>
      </c>
      <c r="Q129" s="454">
        <v>1.4999999999999999E-2</v>
      </c>
      <c r="R129" s="454">
        <v>1.4999999999999999E-2</v>
      </c>
      <c r="S129" s="454">
        <v>1.4999999999999999E-2</v>
      </c>
      <c r="T129" s="454">
        <v>1.4999999999999999E-2</v>
      </c>
      <c r="U129" s="188"/>
      <c r="V129" s="454">
        <v>1.4999999999999999E-2</v>
      </c>
      <c r="W129" s="454">
        <v>1.4999999999999999E-2</v>
      </c>
      <c r="X129" s="454">
        <v>1.4999999999999999E-2</v>
      </c>
      <c r="Y129" s="454">
        <v>1.4999999999999999E-2</v>
      </c>
      <c r="Z129" s="454">
        <v>1.4999999999999999E-2</v>
      </c>
      <c r="AA129" s="188"/>
      <c r="AB129" s="454">
        <v>1.4999999999999999E-2</v>
      </c>
      <c r="AC129" s="454">
        <v>1.4999999999999999E-2</v>
      </c>
      <c r="AD129" s="454">
        <v>1.4999999999999999E-2</v>
      </c>
      <c r="AE129" s="454">
        <v>1.4999999999999999E-2</v>
      </c>
      <c r="AF129" s="454">
        <v>1.4999999999999999E-2</v>
      </c>
      <c r="AG129" s="188"/>
      <c r="AH129" s="454">
        <v>1.4999999999999999E-2</v>
      </c>
    </row>
    <row r="130" spans="1:34" ht="15.75" customHeight="1" x14ac:dyDescent="0.2">
      <c r="A130" s="469"/>
      <c r="B130" s="465"/>
      <c r="C130" s="476"/>
      <c r="D130" s="251"/>
      <c r="E130" s="454"/>
      <c r="F130" s="454"/>
      <c r="G130" s="454"/>
      <c r="H130" s="454"/>
      <c r="I130" s="188"/>
      <c r="J130" s="454"/>
      <c r="K130" s="454"/>
      <c r="L130" s="454"/>
      <c r="M130" s="454"/>
      <c r="N130" s="454"/>
      <c r="O130" s="188"/>
      <c r="P130" s="454"/>
      <c r="Q130" s="454"/>
      <c r="R130" s="454"/>
      <c r="S130" s="454"/>
      <c r="T130" s="454"/>
      <c r="U130" s="188"/>
      <c r="V130" s="454"/>
      <c r="W130" s="454"/>
      <c r="X130" s="454"/>
      <c r="Y130" s="454"/>
      <c r="Z130" s="454"/>
      <c r="AA130" s="188"/>
      <c r="AB130" s="454"/>
      <c r="AC130" s="454"/>
      <c r="AD130" s="454"/>
      <c r="AE130" s="454"/>
      <c r="AF130" s="454"/>
      <c r="AG130" s="188"/>
      <c r="AH130" s="454"/>
    </row>
    <row r="131" spans="1:34" ht="15.75" customHeight="1" x14ac:dyDescent="0.2">
      <c r="A131" s="469"/>
      <c r="B131" s="465" t="s">
        <v>138</v>
      </c>
      <c r="C131" s="476" t="s">
        <v>26</v>
      </c>
      <c r="D131" s="272" t="s">
        <v>78</v>
      </c>
      <c r="E131" s="454">
        <v>5.0000000000000001E-3</v>
      </c>
      <c r="F131" s="454">
        <v>5.0000000000000001E-3</v>
      </c>
      <c r="G131" s="454">
        <v>5.0000000000000001E-3</v>
      </c>
      <c r="H131" s="454">
        <v>5.0000000000000001E-3</v>
      </c>
      <c r="I131" s="188"/>
      <c r="J131" s="454">
        <v>5.0000000000000001E-3</v>
      </c>
      <c r="K131" s="454">
        <v>5.0000000000000001E-3</v>
      </c>
      <c r="L131" s="454">
        <v>5.0000000000000001E-3</v>
      </c>
      <c r="M131" s="454">
        <v>5.0000000000000001E-3</v>
      </c>
      <c r="N131" s="454">
        <v>5.0000000000000001E-3</v>
      </c>
      <c r="O131" s="188"/>
      <c r="P131" s="454">
        <v>5.0000000000000001E-3</v>
      </c>
      <c r="Q131" s="454">
        <v>5.0000000000000001E-3</v>
      </c>
      <c r="R131" s="454">
        <v>5.0000000000000001E-3</v>
      </c>
      <c r="S131" s="454">
        <v>5.0000000000000001E-3</v>
      </c>
      <c r="T131" s="454">
        <v>5.0000000000000001E-3</v>
      </c>
      <c r="U131" s="188"/>
      <c r="V131" s="454">
        <v>5.0000000000000001E-3</v>
      </c>
      <c r="W131" s="454">
        <v>5.0000000000000001E-3</v>
      </c>
      <c r="X131" s="454">
        <v>5.0000000000000001E-3</v>
      </c>
      <c r="Y131" s="454">
        <v>5.0000000000000001E-3</v>
      </c>
      <c r="Z131" s="454">
        <v>5.0000000000000001E-3</v>
      </c>
      <c r="AA131" s="188"/>
      <c r="AB131" s="454">
        <v>5.0000000000000001E-3</v>
      </c>
      <c r="AC131" s="454">
        <v>5.0000000000000001E-3</v>
      </c>
      <c r="AD131" s="454">
        <v>5.0000000000000001E-3</v>
      </c>
      <c r="AE131" s="454">
        <v>5.0000000000000001E-3</v>
      </c>
      <c r="AF131" s="454">
        <v>5.0000000000000001E-3</v>
      </c>
      <c r="AG131" s="188"/>
      <c r="AH131" s="454">
        <v>5.0000000000000001E-3</v>
      </c>
    </row>
    <row r="132" spans="1:34" ht="15.75" customHeight="1" x14ac:dyDescent="0.2">
      <c r="A132" s="469"/>
      <c r="B132" s="465"/>
      <c r="C132" s="476"/>
      <c r="D132" s="251"/>
      <c r="E132" s="454"/>
      <c r="F132" s="454"/>
      <c r="G132" s="454"/>
      <c r="H132" s="454"/>
      <c r="I132" s="188"/>
      <c r="J132" s="454"/>
      <c r="K132" s="454"/>
      <c r="L132" s="454"/>
      <c r="M132" s="454"/>
      <c r="N132" s="454"/>
      <c r="O132" s="188"/>
      <c r="P132" s="454"/>
      <c r="Q132" s="454"/>
      <c r="R132" s="454"/>
      <c r="S132" s="454"/>
      <c r="T132" s="454"/>
      <c r="U132" s="188"/>
      <c r="V132" s="454"/>
      <c r="W132" s="454"/>
      <c r="X132" s="454"/>
      <c r="Y132" s="454"/>
      <c r="Z132" s="454"/>
      <c r="AA132" s="188"/>
      <c r="AB132" s="454"/>
      <c r="AC132" s="454"/>
      <c r="AD132" s="454"/>
      <c r="AE132" s="454"/>
      <c r="AF132" s="454"/>
      <c r="AG132" s="188"/>
      <c r="AH132" s="454"/>
    </row>
    <row r="133" spans="1:34" ht="15.75" customHeight="1" x14ac:dyDescent="0.2">
      <c r="A133" s="469"/>
      <c r="B133" s="465"/>
      <c r="C133" s="476" t="s">
        <v>7</v>
      </c>
      <c r="D133" s="272" t="s">
        <v>78</v>
      </c>
      <c r="E133" s="451">
        <v>0.02</v>
      </c>
      <c r="F133" s="451">
        <v>0.02</v>
      </c>
      <c r="G133" s="451">
        <v>0.02</v>
      </c>
      <c r="H133" s="451">
        <v>0.02</v>
      </c>
      <c r="I133" s="188"/>
      <c r="J133" s="451">
        <v>0.02</v>
      </c>
      <c r="K133" s="451">
        <v>0.02</v>
      </c>
      <c r="L133" s="451">
        <v>0.02</v>
      </c>
      <c r="M133" s="451">
        <v>0.02</v>
      </c>
      <c r="N133" s="451">
        <v>0.02</v>
      </c>
      <c r="O133" s="188"/>
      <c r="P133" s="451">
        <v>0.02</v>
      </c>
      <c r="Q133" s="451">
        <v>0.02</v>
      </c>
      <c r="R133" s="451">
        <v>0.02</v>
      </c>
      <c r="S133" s="451">
        <v>0.02</v>
      </c>
      <c r="T133" s="451">
        <v>0.02</v>
      </c>
      <c r="U133" s="188"/>
      <c r="V133" s="451">
        <v>0.02</v>
      </c>
      <c r="W133" s="451">
        <v>0.02</v>
      </c>
      <c r="X133" s="451">
        <v>0.02</v>
      </c>
      <c r="Y133" s="451">
        <v>0.02</v>
      </c>
      <c r="Z133" s="451">
        <v>0.02</v>
      </c>
      <c r="AA133" s="188"/>
      <c r="AB133" s="451">
        <v>0.02</v>
      </c>
      <c r="AC133" s="451">
        <v>0.02</v>
      </c>
      <c r="AD133" s="451">
        <v>0.02</v>
      </c>
      <c r="AE133" s="451">
        <v>0.02</v>
      </c>
      <c r="AF133" s="451">
        <v>0.02</v>
      </c>
      <c r="AG133" s="188"/>
      <c r="AH133" s="451">
        <v>0.02</v>
      </c>
    </row>
    <row r="134" spans="1:34" ht="15.75" customHeight="1" x14ac:dyDescent="0.2">
      <c r="A134" s="469"/>
      <c r="B134" s="465"/>
      <c r="C134" s="476"/>
      <c r="D134" s="251"/>
      <c r="E134" s="451"/>
      <c r="F134" s="451"/>
      <c r="G134" s="451"/>
      <c r="H134" s="451"/>
      <c r="I134" s="188"/>
      <c r="J134" s="451"/>
      <c r="K134" s="451"/>
      <c r="L134" s="451"/>
      <c r="M134" s="451"/>
      <c r="N134" s="451"/>
      <c r="O134" s="188"/>
      <c r="P134" s="451"/>
      <c r="Q134" s="451"/>
      <c r="R134" s="451"/>
      <c r="S134" s="451"/>
      <c r="T134" s="451"/>
      <c r="U134" s="188"/>
      <c r="V134" s="451"/>
      <c r="W134" s="451"/>
      <c r="X134" s="451"/>
      <c r="Y134" s="451"/>
      <c r="Z134" s="451"/>
      <c r="AA134" s="188"/>
      <c r="AB134" s="451"/>
      <c r="AC134" s="451"/>
      <c r="AD134" s="451"/>
      <c r="AE134" s="451"/>
      <c r="AF134" s="451"/>
      <c r="AG134" s="188"/>
      <c r="AH134" s="451"/>
    </row>
    <row r="135" spans="1:34" ht="15.75" customHeight="1" x14ac:dyDescent="0.2">
      <c r="A135" s="469"/>
      <c r="B135" s="465"/>
      <c r="C135" s="476" t="s">
        <v>8</v>
      </c>
      <c r="D135" s="272" t="s">
        <v>78</v>
      </c>
      <c r="E135" s="454">
        <v>1.4999999999999999E-2</v>
      </c>
      <c r="F135" s="454">
        <v>1.4999999999999999E-2</v>
      </c>
      <c r="G135" s="454">
        <v>1.4999999999999999E-2</v>
      </c>
      <c r="H135" s="454">
        <v>1.4999999999999999E-2</v>
      </c>
      <c r="I135" s="188"/>
      <c r="J135" s="454">
        <v>1.4999999999999999E-2</v>
      </c>
      <c r="K135" s="454">
        <v>1.4999999999999999E-2</v>
      </c>
      <c r="L135" s="454">
        <v>1.4999999999999999E-2</v>
      </c>
      <c r="M135" s="454">
        <v>1.4999999999999999E-2</v>
      </c>
      <c r="N135" s="454">
        <v>1.4999999999999999E-2</v>
      </c>
      <c r="O135" s="188"/>
      <c r="P135" s="454">
        <v>1.4999999999999999E-2</v>
      </c>
      <c r="Q135" s="454">
        <v>1.4999999999999999E-2</v>
      </c>
      <c r="R135" s="454">
        <v>1.4999999999999999E-2</v>
      </c>
      <c r="S135" s="454">
        <v>1.4999999999999999E-2</v>
      </c>
      <c r="T135" s="454">
        <v>1.4999999999999999E-2</v>
      </c>
      <c r="U135" s="188"/>
      <c r="V135" s="454">
        <v>1.4999999999999999E-2</v>
      </c>
      <c r="W135" s="454">
        <v>1.4999999999999999E-2</v>
      </c>
      <c r="X135" s="454">
        <v>1.4999999999999999E-2</v>
      </c>
      <c r="Y135" s="454">
        <v>1.4999999999999999E-2</v>
      </c>
      <c r="Z135" s="454">
        <v>1.4999999999999999E-2</v>
      </c>
      <c r="AA135" s="188"/>
      <c r="AB135" s="454">
        <v>1.4999999999999999E-2</v>
      </c>
      <c r="AC135" s="454">
        <v>1.4999999999999999E-2</v>
      </c>
      <c r="AD135" s="454">
        <v>1.4999999999999999E-2</v>
      </c>
      <c r="AE135" s="454">
        <v>1.4999999999999999E-2</v>
      </c>
      <c r="AF135" s="454">
        <v>1.4999999999999999E-2</v>
      </c>
      <c r="AG135" s="188"/>
      <c r="AH135" s="454">
        <v>1.4999999999999999E-2</v>
      </c>
    </row>
    <row r="136" spans="1:34" ht="15.75" customHeight="1" x14ac:dyDescent="0.2">
      <c r="A136" s="469"/>
      <c r="B136" s="465"/>
      <c r="C136" s="476"/>
      <c r="D136" s="251"/>
      <c r="E136" s="454"/>
      <c r="F136" s="454"/>
      <c r="G136" s="454"/>
      <c r="H136" s="454"/>
      <c r="I136" s="188"/>
      <c r="J136" s="454"/>
      <c r="K136" s="454"/>
      <c r="L136" s="454"/>
      <c r="M136" s="454"/>
      <c r="N136" s="454"/>
      <c r="O136" s="188"/>
      <c r="P136" s="454"/>
      <c r="Q136" s="454"/>
      <c r="R136" s="454"/>
      <c r="S136" s="454"/>
      <c r="T136" s="454"/>
      <c r="U136" s="188"/>
      <c r="V136" s="454"/>
      <c r="W136" s="454"/>
      <c r="X136" s="454"/>
      <c r="Y136" s="454"/>
      <c r="Z136" s="454"/>
      <c r="AA136" s="188"/>
      <c r="AB136" s="454"/>
      <c r="AC136" s="454"/>
      <c r="AD136" s="454"/>
      <c r="AE136" s="454"/>
      <c r="AF136" s="454"/>
      <c r="AG136" s="188"/>
      <c r="AH136" s="454"/>
    </row>
    <row r="137" spans="1:34" ht="15.75" customHeight="1" x14ac:dyDescent="0.2">
      <c r="A137" s="469"/>
      <c r="B137" s="465" t="s">
        <v>87</v>
      </c>
      <c r="C137" s="465" t="s">
        <v>6</v>
      </c>
      <c r="D137" s="272" t="s">
        <v>78</v>
      </c>
      <c r="E137" s="454">
        <v>2.0000000000000001E-4</v>
      </c>
      <c r="F137" s="454">
        <v>2.0000000000000001E-4</v>
      </c>
      <c r="G137" s="454">
        <v>2.0000000000000001E-4</v>
      </c>
      <c r="H137" s="454">
        <v>2.0000000000000001E-4</v>
      </c>
      <c r="I137" s="188"/>
      <c r="J137" s="454">
        <v>2.0000000000000001E-4</v>
      </c>
      <c r="K137" s="454">
        <v>2.0000000000000001E-4</v>
      </c>
      <c r="L137" s="454">
        <v>2.0000000000000001E-4</v>
      </c>
      <c r="M137" s="454">
        <v>2.0000000000000001E-4</v>
      </c>
      <c r="N137" s="454">
        <v>2.0000000000000001E-4</v>
      </c>
      <c r="O137" s="188"/>
      <c r="P137" s="454">
        <v>2.0000000000000001E-4</v>
      </c>
      <c r="Q137" s="454">
        <v>2.0000000000000001E-4</v>
      </c>
      <c r="R137" s="454">
        <v>2.0000000000000001E-4</v>
      </c>
      <c r="S137" s="454">
        <v>2.0000000000000001E-4</v>
      </c>
      <c r="T137" s="454">
        <v>2.0000000000000001E-4</v>
      </c>
      <c r="U137" s="188"/>
      <c r="V137" s="454">
        <v>2.0000000000000001E-4</v>
      </c>
      <c r="W137" s="454">
        <v>2.0000000000000001E-4</v>
      </c>
      <c r="X137" s="454">
        <v>2.0000000000000001E-4</v>
      </c>
      <c r="Y137" s="454">
        <v>2.0000000000000001E-4</v>
      </c>
      <c r="Z137" s="454">
        <v>2.0000000000000001E-4</v>
      </c>
      <c r="AA137" s="188"/>
      <c r="AB137" s="454">
        <v>2.0000000000000001E-4</v>
      </c>
      <c r="AC137" s="454">
        <v>2.0000000000000001E-4</v>
      </c>
      <c r="AD137" s="454">
        <v>2.0000000000000001E-4</v>
      </c>
      <c r="AE137" s="454">
        <v>2.0000000000000001E-4</v>
      </c>
      <c r="AF137" s="454">
        <v>2.0000000000000001E-4</v>
      </c>
      <c r="AG137" s="188"/>
      <c r="AH137" s="454">
        <v>2.0000000000000001E-4</v>
      </c>
    </row>
    <row r="138" spans="1:34" ht="15.75" customHeight="1" x14ac:dyDescent="0.2">
      <c r="A138" s="469"/>
      <c r="B138" s="465"/>
      <c r="C138" s="465"/>
      <c r="D138" s="251"/>
      <c r="E138" s="454"/>
      <c r="F138" s="454"/>
      <c r="G138" s="454"/>
      <c r="H138" s="454"/>
      <c r="I138" s="188"/>
      <c r="J138" s="454"/>
      <c r="K138" s="454"/>
      <c r="L138" s="454"/>
      <c r="M138" s="454"/>
      <c r="N138" s="454"/>
      <c r="O138" s="188"/>
      <c r="P138" s="454"/>
      <c r="Q138" s="454"/>
      <c r="R138" s="454"/>
      <c r="S138" s="454"/>
      <c r="T138" s="454"/>
      <c r="U138" s="188"/>
      <c r="V138" s="454"/>
      <c r="W138" s="454"/>
      <c r="X138" s="454"/>
      <c r="Y138" s="454"/>
      <c r="Z138" s="454"/>
      <c r="AA138" s="188"/>
      <c r="AB138" s="454"/>
      <c r="AC138" s="454"/>
      <c r="AD138" s="454"/>
      <c r="AE138" s="454"/>
      <c r="AF138" s="454"/>
      <c r="AG138" s="188"/>
      <c r="AH138" s="454"/>
    </row>
    <row r="139" spans="1:34" ht="15.75" customHeight="1" x14ac:dyDescent="0.2">
      <c r="A139" s="469"/>
      <c r="B139" s="465"/>
      <c r="C139" s="465" t="s">
        <v>7</v>
      </c>
      <c r="D139" s="272" t="s">
        <v>78</v>
      </c>
      <c r="E139" s="451">
        <v>0.01</v>
      </c>
      <c r="F139" s="451">
        <v>0.01</v>
      </c>
      <c r="G139" s="451">
        <v>0.01</v>
      </c>
      <c r="H139" s="451">
        <v>0.01</v>
      </c>
      <c r="I139" s="188"/>
      <c r="J139" s="451">
        <v>0.01</v>
      </c>
      <c r="K139" s="451">
        <v>0.01</v>
      </c>
      <c r="L139" s="451">
        <v>0.01</v>
      </c>
      <c r="M139" s="451">
        <v>0.01</v>
      </c>
      <c r="N139" s="451">
        <v>0.01</v>
      </c>
      <c r="O139" s="188"/>
      <c r="P139" s="451">
        <v>0.01</v>
      </c>
      <c r="Q139" s="451">
        <v>0.01</v>
      </c>
      <c r="R139" s="451">
        <v>0.01</v>
      </c>
      <c r="S139" s="451">
        <v>0.01</v>
      </c>
      <c r="T139" s="451">
        <v>0.01</v>
      </c>
      <c r="U139" s="188"/>
      <c r="V139" s="451">
        <v>0.01</v>
      </c>
      <c r="W139" s="451">
        <v>0.01</v>
      </c>
      <c r="X139" s="451">
        <v>0.01</v>
      </c>
      <c r="Y139" s="451">
        <v>0.01</v>
      </c>
      <c r="Z139" s="451">
        <v>0.01</v>
      </c>
      <c r="AA139" s="188"/>
      <c r="AB139" s="451">
        <v>0.01</v>
      </c>
      <c r="AC139" s="451">
        <v>0.01</v>
      </c>
      <c r="AD139" s="451">
        <v>0.01</v>
      </c>
      <c r="AE139" s="451">
        <v>0.01</v>
      </c>
      <c r="AF139" s="451">
        <v>0.01</v>
      </c>
      <c r="AG139" s="188"/>
      <c r="AH139" s="451">
        <v>0.01</v>
      </c>
    </row>
    <row r="140" spans="1:34" ht="15.75" customHeight="1" x14ac:dyDescent="0.2">
      <c r="A140" s="469"/>
      <c r="B140" s="465"/>
      <c r="C140" s="465"/>
      <c r="D140" s="251"/>
      <c r="E140" s="451"/>
      <c r="F140" s="451"/>
      <c r="G140" s="451"/>
      <c r="H140" s="451"/>
      <c r="I140" s="188"/>
      <c r="J140" s="451"/>
      <c r="K140" s="451"/>
      <c r="L140" s="451"/>
      <c r="M140" s="451"/>
      <c r="N140" s="451"/>
      <c r="O140" s="188"/>
      <c r="P140" s="451"/>
      <c r="Q140" s="451"/>
      <c r="R140" s="451"/>
      <c r="S140" s="451"/>
      <c r="T140" s="451"/>
      <c r="U140" s="188"/>
      <c r="V140" s="451"/>
      <c r="W140" s="451"/>
      <c r="X140" s="451"/>
      <c r="Y140" s="451"/>
      <c r="Z140" s="451"/>
      <c r="AA140" s="188"/>
      <c r="AB140" s="451"/>
      <c r="AC140" s="451"/>
      <c r="AD140" s="451"/>
      <c r="AE140" s="451"/>
      <c r="AF140" s="451"/>
      <c r="AG140" s="188"/>
      <c r="AH140" s="451"/>
    </row>
    <row r="141" spans="1:34" ht="15.75" customHeight="1" x14ac:dyDescent="0.2">
      <c r="A141" s="469"/>
      <c r="B141" s="465"/>
      <c r="C141" s="465" t="s">
        <v>8</v>
      </c>
      <c r="D141" s="272" t="s">
        <v>78</v>
      </c>
      <c r="E141" s="454">
        <v>5.0000000000000001E-3</v>
      </c>
      <c r="F141" s="454">
        <v>5.0000000000000001E-3</v>
      </c>
      <c r="G141" s="454">
        <v>5.0000000000000001E-3</v>
      </c>
      <c r="H141" s="454">
        <v>5.0000000000000001E-3</v>
      </c>
      <c r="I141" s="188"/>
      <c r="J141" s="454">
        <v>5.0000000000000001E-3</v>
      </c>
      <c r="K141" s="454">
        <v>5.0000000000000001E-3</v>
      </c>
      <c r="L141" s="454">
        <v>5.0000000000000001E-3</v>
      </c>
      <c r="M141" s="454">
        <v>5.0000000000000001E-3</v>
      </c>
      <c r="N141" s="454">
        <v>5.0000000000000001E-3</v>
      </c>
      <c r="O141" s="188"/>
      <c r="P141" s="454">
        <v>5.0000000000000001E-3</v>
      </c>
      <c r="Q141" s="454">
        <v>5.0000000000000001E-3</v>
      </c>
      <c r="R141" s="454">
        <v>5.0000000000000001E-3</v>
      </c>
      <c r="S141" s="454">
        <v>5.0000000000000001E-3</v>
      </c>
      <c r="T141" s="454">
        <v>5.0000000000000001E-3</v>
      </c>
      <c r="U141" s="188"/>
      <c r="V141" s="454">
        <v>5.0000000000000001E-3</v>
      </c>
      <c r="W141" s="454">
        <v>5.0000000000000001E-3</v>
      </c>
      <c r="X141" s="454">
        <v>5.0000000000000001E-3</v>
      </c>
      <c r="Y141" s="454">
        <v>5.0000000000000001E-3</v>
      </c>
      <c r="Z141" s="454">
        <v>5.0000000000000001E-3</v>
      </c>
      <c r="AA141" s="188"/>
      <c r="AB141" s="454">
        <v>5.0000000000000001E-3</v>
      </c>
      <c r="AC141" s="454">
        <v>5.0000000000000001E-3</v>
      </c>
      <c r="AD141" s="454">
        <v>5.0000000000000001E-3</v>
      </c>
      <c r="AE141" s="454">
        <v>5.0000000000000001E-3</v>
      </c>
      <c r="AF141" s="454">
        <v>5.0000000000000001E-3</v>
      </c>
      <c r="AG141" s="188"/>
      <c r="AH141" s="454">
        <v>5.0000000000000001E-3</v>
      </c>
    </row>
    <row r="142" spans="1:34" ht="15.75" customHeight="1" x14ac:dyDescent="0.2">
      <c r="A142" s="469"/>
      <c r="B142" s="465"/>
      <c r="C142" s="465"/>
      <c r="D142" s="251"/>
      <c r="E142" s="454"/>
      <c r="F142" s="454"/>
      <c r="G142" s="454"/>
      <c r="H142" s="454"/>
      <c r="I142" s="188"/>
      <c r="J142" s="454"/>
      <c r="K142" s="454"/>
      <c r="L142" s="454"/>
      <c r="M142" s="454"/>
      <c r="N142" s="454"/>
      <c r="O142" s="188"/>
      <c r="P142" s="454"/>
      <c r="Q142" s="454"/>
      <c r="R142" s="454"/>
      <c r="S142" s="454"/>
      <c r="T142" s="454"/>
      <c r="U142" s="188"/>
      <c r="V142" s="454"/>
      <c r="W142" s="454"/>
      <c r="X142" s="454"/>
      <c r="Y142" s="454"/>
      <c r="Z142" s="454"/>
      <c r="AA142" s="188"/>
      <c r="AB142" s="454"/>
      <c r="AC142" s="454"/>
      <c r="AD142" s="454"/>
      <c r="AE142" s="454"/>
      <c r="AF142" s="454"/>
      <c r="AG142" s="188"/>
      <c r="AH142" s="454"/>
    </row>
    <row r="143" spans="1:34" ht="15.75" customHeight="1" x14ac:dyDescent="0.2">
      <c r="A143" s="469"/>
      <c r="B143" s="465" t="s">
        <v>139</v>
      </c>
      <c r="C143" s="181" t="s">
        <v>6</v>
      </c>
      <c r="D143" s="24" t="s">
        <v>135</v>
      </c>
      <c r="E143" s="181">
        <v>2</v>
      </c>
      <c r="F143" s="181">
        <v>2</v>
      </c>
      <c r="G143" s="181">
        <v>2</v>
      </c>
      <c r="H143" s="181">
        <v>2</v>
      </c>
      <c r="I143" s="188"/>
      <c r="J143" s="192">
        <v>8</v>
      </c>
      <c r="K143" s="181">
        <v>2</v>
      </c>
      <c r="L143" s="181">
        <v>2</v>
      </c>
      <c r="M143" s="181">
        <v>2</v>
      </c>
      <c r="N143" s="181">
        <v>2</v>
      </c>
      <c r="O143" s="188"/>
      <c r="P143" s="192">
        <v>8</v>
      </c>
      <c r="Q143" s="181">
        <v>2</v>
      </c>
      <c r="R143" s="181">
        <v>2</v>
      </c>
      <c r="S143" s="181">
        <v>2</v>
      </c>
      <c r="T143" s="181">
        <v>2</v>
      </c>
      <c r="U143" s="188"/>
      <c r="V143" s="192">
        <v>8</v>
      </c>
      <c r="W143" s="181">
        <v>2</v>
      </c>
      <c r="X143" s="181">
        <v>2</v>
      </c>
      <c r="Y143" s="181">
        <v>2</v>
      </c>
      <c r="Z143" s="181">
        <v>2</v>
      </c>
      <c r="AA143" s="188"/>
      <c r="AB143" s="192">
        <v>8</v>
      </c>
      <c r="AC143" s="181">
        <v>2</v>
      </c>
      <c r="AD143" s="181">
        <v>2</v>
      </c>
      <c r="AE143" s="181">
        <v>2</v>
      </c>
      <c r="AF143" s="181">
        <v>2</v>
      </c>
      <c r="AG143" s="188"/>
      <c r="AH143" s="192">
        <v>8</v>
      </c>
    </row>
    <row r="144" spans="1:34" x14ac:dyDescent="0.2">
      <c r="A144" s="469"/>
      <c r="B144" s="465"/>
      <c r="C144" s="181" t="s">
        <v>7</v>
      </c>
      <c r="D144" s="24" t="s">
        <v>135</v>
      </c>
      <c r="E144" s="181">
        <v>0</v>
      </c>
      <c r="F144" s="181">
        <v>0</v>
      </c>
      <c r="G144" s="186">
        <v>0</v>
      </c>
      <c r="H144" s="186">
        <v>1</v>
      </c>
      <c r="I144" s="188"/>
      <c r="J144" s="192">
        <v>1</v>
      </c>
      <c r="K144" s="181">
        <v>0</v>
      </c>
      <c r="L144" s="181">
        <v>0</v>
      </c>
      <c r="M144" s="186">
        <v>0</v>
      </c>
      <c r="N144" s="186">
        <v>1</v>
      </c>
      <c r="O144" s="188"/>
      <c r="P144" s="192">
        <v>1</v>
      </c>
      <c r="Q144" s="181">
        <v>0</v>
      </c>
      <c r="R144" s="181">
        <v>0</v>
      </c>
      <c r="S144" s="186">
        <v>0</v>
      </c>
      <c r="T144" s="186">
        <v>1</v>
      </c>
      <c r="U144" s="188"/>
      <c r="V144" s="192">
        <v>1</v>
      </c>
      <c r="W144" s="181">
        <v>0</v>
      </c>
      <c r="X144" s="181">
        <v>0</v>
      </c>
      <c r="Y144" s="186">
        <v>0</v>
      </c>
      <c r="Z144" s="186">
        <v>1</v>
      </c>
      <c r="AA144" s="188"/>
      <c r="AB144" s="192">
        <v>1</v>
      </c>
      <c r="AC144" s="181">
        <v>0</v>
      </c>
      <c r="AD144" s="181">
        <v>0</v>
      </c>
      <c r="AE144" s="186">
        <v>0</v>
      </c>
      <c r="AF144" s="186">
        <v>1</v>
      </c>
      <c r="AG144" s="188"/>
      <c r="AH144" s="192">
        <v>1</v>
      </c>
    </row>
    <row r="145" spans="1:34" x14ac:dyDescent="0.2">
      <c r="A145" s="469"/>
      <c r="B145" s="465"/>
      <c r="C145" s="181" t="s">
        <v>8</v>
      </c>
      <c r="D145" s="24" t="s">
        <v>135</v>
      </c>
      <c r="E145" s="181">
        <v>0</v>
      </c>
      <c r="F145" s="181">
        <v>0</v>
      </c>
      <c r="G145" s="186">
        <v>0</v>
      </c>
      <c r="H145" s="186">
        <v>1</v>
      </c>
      <c r="I145" s="188"/>
      <c r="J145" s="192">
        <v>1</v>
      </c>
      <c r="K145" s="181">
        <v>0</v>
      </c>
      <c r="L145" s="181">
        <v>0</v>
      </c>
      <c r="M145" s="186">
        <v>0</v>
      </c>
      <c r="N145" s="186">
        <v>1</v>
      </c>
      <c r="O145" s="188"/>
      <c r="P145" s="192">
        <v>1</v>
      </c>
      <c r="Q145" s="181">
        <v>0</v>
      </c>
      <c r="R145" s="181">
        <v>0</v>
      </c>
      <c r="S145" s="186">
        <v>0</v>
      </c>
      <c r="T145" s="186">
        <v>1</v>
      </c>
      <c r="U145" s="188"/>
      <c r="V145" s="192">
        <v>1</v>
      </c>
      <c r="W145" s="181">
        <v>0</v>
      </c>
      <c r="X145" s="181">
        <v>0</v>
      </c>
      <c r="Y145" s="186">
        <v>0</v>
      </c>
      <c r="Z145" s="186">
        <v>1</v>
      </c>
      <c r="AA145" s="188"/>
      <c r="AB145" s="192">
        <v>1</v>
      </c>
      <c r="AC145" s="181">
        <v>0</v>
      </c>
      <c r="AD145" s="181">
        <v>0</v>
      </c>
      <c r="AE145" s="186">
        <v>0</v>
      </c>
      <c r="AF145" s="186">
        <v>1</v>
      </c>
      <c r="AG145" s="188"/>
      <c r="AH145" s="192">
        <v>1</v>
      </c>
    </row>
    <row r="146" spans="1:34" ht="15.75" customHeight="1" x14ac:dyDescent="0.2">
      <c r="A146" s="469"/>
      <c r="B146" s="465" t="s">
        <v>140</v>
      </c>
      <c r="C146" s="476" t="s">
        <v>26</v>
      </c>
      <c r="D146" s="272" t="s">
        <v>78</v>
      </c>
      <c r="E146" s="451">
        <v>0.5</v>
      </c>
      <c r="F146" s="451">
        <v>0.5</v>
      </c>
      <c r="G146" s="451">
        <v>0.5</v>
      </c>
      <c r="H146" s="451">
        <v>0.5</v>
      </c>
      <c r="I146" s="188"/>
      <c r="J146" s="451">
        <v>0.5</v>
      </c>
      <c r="K146" s="451">
        <v>0.5</v>
      </c>
      <c r="L146" s="451">
        <v>0.5</v>
      </c>
      <c r="M146" s="451">
        <v>0.5</v>
      </c>
      <c r="N146" s="451">
        <v>0.5</v>
      </c>
      <c r="O146" s="188"/>
      <c r="P146" s="451">
        <v>0.5</v>
      </c>
      <c r="Q146" s="451">
        <v>0.5</v>
      </c>
      <c r="R146" s="451">
        <v>0.5</v>
      </c>
      <c r="S146" s="451">
        <v>0.5</v>
      </c>
      <c r="T146" s="451">
        <v>0.5</v>
      </c>
      <c r="U146" s="188"/>
      <c r="V146" s="451">
        <v>0.5</v>
      </c>
      <c r="W146" s="451">
        <v>0.5</v>
      </c>
      <c r="X146" s="451">
        <v>0.5</v>
      </c>
      <c r="Y146" s="451">
        <v>0.5</v>
      </c>
      <c r="Z146" s="451">
        <v>0.5</v>
      </c>
      <c r="AA146" s="188"/>
      <c r="AB146" s="451">
        <v>0.5</v>
      </c>
      <c r="AC146" s="451">
        <v>0.5</v>
      </c>
      <c r="AD146" s="451">
        <v>0.5</v>
      </c>
      <c r="AE146" s="451">
        <v>0.5</v>
      </c>
      <c r="AF146" s="451">
        <v>0.5</v>
      </c>
      <c r="AG146" s="188"/>
      <c r="AH146" s="451">
        <v>0.5</v>
      </c>
    </row>
    <row r="147" spans="1:34" ht="15.75" customHeight="1" x14ac:dyDescent="0.2">
      <c r="A147" s="469"/>
      <c r="B147" s="465"/>
      <c r="C147" s="476"/>
      <c r="D147" s="251"/>
      <c r="E147" s="451"/>
      <c r="F147" s="451"/>
      <c r="G147" s="451"/>
      <c r="H147" s="451"/>
      <c r="I147" s="188"/>
      <c r="J147" s="451"/>
      <c r="K147" s="451"/>
      <c r="L147" s="451"/>
      <c r="M147" s="451"/>
      <c r="N147" s="451"/>
      <c r="O147" s="188"/>
      <c r="P147" s="451"/>
      <c r="Q147" s="451"/>
      <c r="R147" s="451"/>
      <c r="S147" s="451"/>
      <c r="T147" s="451"/>
      <c r="U147" s="188"/>
      <c r="V147" s="451"/>
      <c r="W147" s="451"/>
      <c r="X147" s="451"/>
      <c r="Y147" s="451"/>
      <c r="Z147" s="451"/>
      <c r="AA147" s="188"/>
      <c r="AB147" s="451"/>
      <c r="AC147" s="451"/>
      <c r="AD147" s="451"/>
      <c r="AE147" s="451"/>
      <c r="AF147" s="451"/>
      <c r="AG147" s="188"/>
      <c r="AH147" s="451"/>
    </row>
    <row r="148" spans="1:34" ht="15.75" customHeight="1" x14ac:dyDescent="0.2">
      <c r="A148" s="469"/>
      <c r="B148" s="465"/>
      <c r="C148" s="475" t="s">
        <v>7</v>
      </c>
      <c r="D148" s="272" t="s">
        <v>78</v>
      </c>
      <c r="E148" s="451">
        <v>1</v>
      </c>
      <c r="F148" s="451">
        <v>1</v>
      </c>
      <c r="G148" s="451">
        <v>1</v>
      </c>
      <c r="H148" s="451">
        <v>1</v>
      </c>
      <c r="I148" s="188"/>
      <c r="J148" s="451">
        <v>1</v>
      </c>
      <c r="K148" s="451">
        <v>1</v>
      </c>
      <c r="L148" s="451">
        <v>1</v>
      </c>
      <c r="M148" s="451">
        <v>1</v>
      </c>
      <c r="N148" s="451">
        <v>1</v>
      </c>
      <c r="O148" s="188"/>
      <c r="P148" s="451">
        <v>1</v>
      </c>
      <c r="Q148" s="451">
        <v>1</v>
      </c>
      <c r="R148" s="451">
        <v>1</v>
      </c>
      <c r="S148" s="451">
        <v>1</v>
      </c>
      <c r="T148" s="451">
        <v>1</v>
      </c>
      <c r="U148" s="188"/>
      <c r="V148" s="451">
        <v>1</v>
      </c>
      <c r="W148" s="451">
        <v>1</v>
      </c>
      <c r="X148" s="451">
        <v>1</v>
      </c>
      <c r="Y148" s="451">
        <v>1</v>
      </c>
      <c r="Z148" s="451">
        <v>1</v>
      </c>
      <c r="AA148" s="188"/>
      <c r="AB148" s="451">
        <v>1</v>
      </c>
      <c r="AC148" s="451">
        <v>1</v>
      </c>
      <c r="AD148" s="451">
        <v>1</v>
      </c>
      <c r="AE148" s="451">
        <v>1</v>
      </c>
      <c r="AF148" s="451">
        <v>1</v>
      </c>
      <c r="AG148" s="188"/>
      <c r="AH148" s="451">
        <v>1</v>
      </c>
    </row>
    <row r="149" spans="1:34" ht="15.75" customHeight="1" x14ac:dyDescent="0.2">
      <c r="A149" s="469"/>
      <c r="B149" s="465"/>
      <c r="C149" s="475"/>
      <c r="D149" s="251"/>
      <c r="E149" s="451"/>
      <c r="F149" s="451"/>
      <c r="G149" s="451"/>
      <c r="H149" s="451"/>
      <c r="I149" s="188"/>
      <c r="J149" s="451"/>
      <c r="K149" s="451"/>
      <c r="L149" s="451"/>
      <c r="M149" s="451"/>
      <c r="N149" s="451"/>
      <c r="O149" s="188"/>
      <c r="P149" s="451"/>
      <c r="Q149" s="451"/>
      <c r="R149" s="451"/>
      <c r="S149" s="451"/>
      <c r="T149" s="451"/>
      <c r="U149" s="188"/>
      <c r="V149" s="451"/>
      <c r="W149" s="451"/>
      <c r="X149" s="451"/>
      <c r="Y149" s="451"/>
      <c r="Z149" s="451"/>
      <c r="AA149" s="188"/>
      <c r="AB149" s="451"/>
      <c r="AC149" s="451"/>
      <c r="AD149" s="451"/>
      <c r="AE149" s="451"/>
      <c r="AF149" s="451"/>
      <c r="AG149" s="188"/>
      <c r="AH149" s="451"/>
    </row>
    <row r="150" spans="1:34" ht="15.75" customHeight="1" x14ac:dyDescent="0.2">
      <c r="A150" s="469"/>
      <c r="B150" s="465"/>
      <c r="C150" s="476" t="s">
        <v>8</v>
      </c>
      <c r="D150" s="272" t="s">
        <v>78</v>
      </c>
      <c r="E150" s="451">
        <v>0.5</v>
      </c>
      <c r="F150" s="451">
        <v>0.5</v>
      </c>
      <c r="G150" s="451">
        <v>0.5</v>
      </c>
      <c r="H150" s="451">
        <v>0.5</v>
      </c>
      <c r="I150" s="188"/>
      <c r="J150" s="451">
        <v>0.5</v>
      </c>
      <c r="K150" s="451">
        <v>0.5</v>
      </c>
      <c r="L150" s="451">
        <v>0.5</v>
      </c>
      <c r="M150" s="451">
        <v>0.5</v>
      </c>
      <c r="N150" s="451">
        <v>0.5</v>
      </c>
      <c r="O150" s="188"/>
      <c r="P150" s="451">
        <v>0.5</v>
      </c>
      <c r="Q150" s="451">
        <v>0.5</v>
      </c>
      <c r="R150" s="451">
        <v>0.5</v>
      </c>
      <c r="S150" s="451">
        <v>0.5</v>
      </c>
      <c r="T150" s="451">
        <v>0.5</v>
      </c>
      <c r="U150" s="188"/>
      <c r="V150" s="451">
        <v>0.5</v>
      </c>
      <c r="W150" s="451">
        <v>0.5</v>
      </c>
      <c r="X150" s="451">
        <v>0.5</v>
      </c>
      <c r="Y150" s="451">
        <v>0.5</v>
      </c>
      <c r="Z150" s="451">
        <v>0.5</v>
      </c>
      <c r="AA150" s="188"/>
      <c r="AB150" s="451">
        <v>0.5</v>
      </c>
      <c r="AC150" s="451">
        <v>0.5</v>
      </c>
      <c r="AD150" s="451">
        <v>0.5</v>
      </c>
      <c r="AE150" s="451">
        <v>0.5</v>
      </c>
      <c r="AF150" s="451">
        <v>0.5</v>
      </c>
      <c r="AG150" s="188"/>
      <c r="AH150" s="451">
        <v>0.5</v>
      </c>
    </row>
    <row r="151" spans="1:34" ht="15.75" customHeight="1" x14ac:dyDescent="0.2">
      <c r="A151" s="251"/>
      <c r="B151" s="465"/>
      <c r="C151" s="476"/>
      <c r="D151" s="251"/>
      <c r="E151" s="451"/>
      <c r="F151" s="451"/>
      <c r="G151" s="451"/>
      <c r="H151" s="451"/>
      <c r="I151" s="188"/>
      <c r="J151" s="451"/>
      <c r="K151" s="451"/>
      <c r="L151" s="451"/>
      <c r="M151" s="451"/>
      <c r="N151" s="451"/>
      <c r="O151" s="188"/>
      <c r="P151" s="451"/>
      <c r="Q151" s="451"/>
      <c r="R151" s="451"/>
      <c r="S151" s="451"/>
      <c r="T151" s="451"/>
      <c r="U151" s="188"/>
      <c r="V151" s="451"/>
      <c r="W151" s="451"/>
      <c r="X151" s="451"/>
      <c r="Y151" s="451"/>
      <c r="Z151" s="451"/>
      <c r="AA151" s="188"/>
      <c r="AB151" s="451"/>
      <c r="AC151" s="451"/>
      <c r="AD151" s="451"/>
      <c r="AE151" s="451"/>
      <c r="AF151" s="451"/>
      <c r="AG151" s="188"/>
      <c r="AH151" s="451"/>
    </row>
    <row r="152" spans="1:34" x14ac:dyDescent="0.2">
      <c r="A152" s="176">
        <v>1.6</v>
      </c>
      <c r="B152" s="464" t="s">
        <v>27</v>
      </c>
      <c r="C152" s="464"/>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476"/>
      <c r="B153" s="465" t="s">
        <v>126</v>
      </c>
      <c r="C153" s="476"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476"/>
      <c r="B154" s="465"/>
      <c r="C154" s="476"/>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476"/>
      <c r="B155" s="465"/>
      <c r="C155" s="476"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476"/>
      <c r="B156" s="465"/>
      <c r="C156" s="476"/>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476"/>
      <c r="B157" s="465"/>
      <c r="C157" s="476"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476"/>
      <c r="B158" s="465"/>
      <c r="C158" s="476"/>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476"/>
      <c r="B159" s="284" t="s">
        <v>127</v>
      </c>
      <c r="C159" s="476"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476"/>
      <c r="B160" s="284"/>
      <c r="C160" s="476"/>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476"/>
      <c r="B161" s="284"/>
      <c r="C161" s="476"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476"/>
      <c r="B162" s="284"/>
      <c r="C162" s="476"/>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476"/>
      <c r="B163" s="284"/>
      <c r="C163" s="476"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476"/>
      <c r="B164" s="284"/>
      <c r="C164" s="476"/>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476"/>
      <c r="B165" s="465" t="s">
        <v>128</v>
      </c>
      <c r="C165" s="465"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476"/>
      <c r="B166" s="465"/>
      <c r="C166" s="465"/>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476"/>
      <c r="B167" s="465"/>
      <c r="C167" s="465"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476"/>
      <c r="B168" s="465"/>
      <c r="C168" s="465"/>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476"/>
      <c r="B169" s="465"/>
      <c r="C169" s="465"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476"/>
      <c r="B170" s="465"/>
      <c r="C170" s="465"/>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476"/>
      <c r="B171" s="465" t="s">
        <v>88</v>
      </c>
      <c r="C171" s="465"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465"/>
      <c r="C172" s="465"/>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465"/>
      <c r="C173" s="465"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465"/>
      <c r="C174" s="465"/>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465"/>
      <c r="C175" s="465"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465"/>
      <c r="C176" s="465"/>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476"/>
      <c r="B177" s="465" t="s">
        <v>141</v>
      </c>
      <c r="C177" s="465"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465"/>
      <c r="C178" s="465"/>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465"/>
      <c r="C179" s="465"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465"/>
      <c r="C180" s="465"/>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465"/>
      <c r="C181" s="465"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449"/>
      <c r="B182" s="465"/>
      <c r="C182" s="465"/>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26.25" customHeight="1" x14ac:dyDescent="0.2">
      <c r="A183" s="476"/>
      <c r="B183" s="465" t="s">
        <v>89</v>
      </c>
      <c r="C183" s="465"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449"/>
      <c r="B184" s="465"/>
      <c r="C184" s="465"/>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465"/>
      <c r="C185" s="465"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465"/>
      <c r="C186" s="465"/>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465"/>
      <c r="C187" s="465"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465"/>
      <c r="C188" s="465"/>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6">
        <v>1.7</v>
      </c>
      <c r="B189" s="457" t="s">
        <v>28</v>
      </c>
      <c r="C189" s="458"/>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469"/>
      <c r="B190" s="465" t="s">
        <v>90</v>
      </c>
      <c r="C190" s="465"/>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469"/>
      <c r="B191" s="465"/>
      <c r="C191" s="465"/>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469"/>
      <c r="B192" s="465" t="s">
        <v>91</v>
      </c>
      <c r="C192" s="465"/>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469"/>
      <c r="B193" s="465"/>
      <c r="C193" s="465"/>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195">
        <v>2</v>
      </c>
      <c r="B194" s="498" t="s">
        <v>29</v>
      </c>
      <c r="C194" s="499"/>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195">
        <v>2.1</v>
      </c>
      <c r="B195" s="498" t="s">
        <v>30</v>
      </c>
      <c r="C195" s="499"/>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469"/>
      <c r="B196" s="468" t="s">
        <v>142</v>
      </c>
      <c r="C196" s="468"/>
      <c r="D196" s="273" t="s">
        <v>78</v>
      </c>
      <c r="E196" s="454">
        <v>7.2999999999999995E-2</v>
      </c>
      <c r="F196" s="454">
        <v>7.2999999999999995E-2</v>
      </c>
      <c r="G196" s="454">
        <v>7.2999999999999995E-2</v>
      </c>
      <c r="H196" s="454">
        <v>7.2999999999999995E-2</v>
      </c>
      <c r="I196" s="197"/>
      <c r="J196" s="454">
        <v>7.2999999999999995E-2</v>
      </c>
      <c r="K196" s="454">
        <v>7.2999999999999995E-2</v>
      </c>
      <c r="L196" s="454">
        <v>7.2999999999999995E-2</v>
      </c>
      <c r="M196" s="454">
        <v>7.2999999999999995E-2</v>
      </c>
      <c r="N196" s="454">
        <v>7.2999999999999995E-2</v>
      </c>
      <c r="O196" s="197"/>
      <c r="P196" s="454">
        <v>7.2999999999999995E-2</v>
      </c>
      <c r="Q196" s="454">
        <v>7.2999999999999995E-2</v>
      </c>
      <c r="R196" s="454">
        <v>7.2999999999999995E-2</v>
      </c>
      <c r="S196" s="454">
        <v>7.2999999999999995E-2</v>
      </c>
      <c r="T196" s="454">
        <v>7.2999999999999995E-2</v>
      </c>
      <c r="U196" s="197"/>
      <c r="V196" s="454">
        <v>7.2999999999999995E-2</v>
      </c>
      <c r="W196" s="454">
        <v>7.2999999999999995E-2</v>
      </c>
      <c r="X196" s="454">
        <v>7.2999999999999995E-2</v>
      </c>
      <c r="Y196" s="454">
        <v>7.2999999999999995E-2</v>
      </c>
      <c r="Z196" s="454">
        <v>7.2999999999999995E-2</v>
      </c>
      <c r="AA196" s="197"/>
      <c r="AB196" s="454">
        <v>7.2999999999999995E-2</v>
      </c>
      <c r="AC196" s="454">
        <v>7.2999999999999995E-2</v>
      </c>
      <c r="AD196" s="454">
        <v>7.2999999999999995E-2</v>
      </c>
      <c r="AE196" s="454">
        <v>7.2999999999999995E-2</v>
      </c>
      <c r="AF196" s="454">
        <v>7.2999999999999995E-2</v>
      </c>
      <c r="AG196" s="185"/>
      <c r="AH196" s="454">
        <v>7.2999999999999995E-2</v>
      </c>
    </row>
    <row r="197" spans="1:34" ht="24" customHeight="1" x14ac:dyDescent="0.2">
      <c r="A197" s="469"/>
      <c r="B197" s="468"/>
      <c r="C197" s="468"/>
      <c r="D197" s="273"/>
      <c r="E197" s="454"/>
      <c r="F197" s="454"/>
      <c r="G197" s="454"/>
      <c r="H197" s="454"/>
      <c r="I197" s="197"/>
      <c r="J197" s="454"/>
      <c r="K197" s="454"/>
      <c r="L197" s="454"/>
      <c r="M197" s="454"/>
      <c r="N197" s="454"/>
      <c r="O197" s="197"/>
      <c r="P197" s="454"/>
      <c r="Q197" s="454"/>
      <c r="R197" s="454"/>
      <c r="S197" s="454"/>
      <c r="T197" s="454"/>
      <c r="U197" s="197"/>
      <c r="V197" s="454"/>
      <c r="W197" s="454"/>
      <c r="X197" s="454"/>
      <c r="Y197" s="454"/>
      <c r="Z197" s="454"/>
      <c r="AA197" s="197"/>
      <c r="AB197" s="454"/>
      <c r="AC197" s="454"/>
      <c r="AD197" s="454"/>
      <c r="AE197" s="454"/>
      <c r="AF197" s="454"/>
      <c r="AG197" s="185"/>
      <c r="AH197" s="454"/>
    </row>
    <row r="198" spans="1:34" ht="15.75" customHeight="1" x14ac:dyDescent="0.2">
      <c r="A198" s="469"/>
      <c r="B198" s="474" t="s">
        <v>146</v>
      </c>
      <c r="C198" s="474"/>
      <c r="D198" s="273" t="s">
        <v>78</v>
      </c>
      <c r="E198" s="451">
        <v>1</v>
      </c>
      <c r="F198" s="451">
        <v>1</v>
      </c>
      <c r="G198" s="451">
        <v>1</v>
      </c>
      <c r="H198" s="451">
        <v>1</v>
      </c>
      <c r="I198" s="179"/>
      <c r="J198" s="451">
        <v>1</v>
      </c>
      <c r="K198" s="451">
        <v>1</v>
      </c>
      <c r="L198" s="451">
        <v>1</v>
      </c>
      <c r="M198" s="451">
        <v>1</v>
      </c>
      <c r="N198" s="451">
        <v>1</v>
      </c>
      <c r="O198" s="179"/>
      <c r="P198" s="451">
        <v>1</v>
      </c>
      <c r="Q198" s="451">
        <v>1</v>
      </c>
      <c r="R198" s="451">
        <v>1</v>
      </c>
      <c r="S198" s="451">
        <v>1</v>
      </c>
      <c r="T198" s="451">
        <v>1</v>
      </c>
      <c r="U198" s="179"/>
      <c r="V198" s="451">
        <v>1</v>
      </c>
      <c r="W198" s="451">
        <v>1</v>
      </c>
      <c r="X198" s="451">
        <v>1</v>
      </c>
      <c r="Y198" s="451">
        <v>1</v>
      </c>
      <c r="Z198" s="451">
        <v>1</v>
      </c>
      <c r="AA198" s="179"/>
      <c r="AB198" s="451">
        <v>1</v>
      </c>
      <c r="AC198" s="451">
        <v>1</v>
      </c>
      <c r="AD198" s="451">
        <v>1</v>
      </c>
      <c r="AE198" s="451">
        <v>1</v>
      </c>
      <c r="AF198" s="451">
        <v>1</v>
      </c>
      <c r="AG198" s="179"/>
      <c r="AH198" s="451">
        <v>1</v>
      </c>
    </row>
    <row r="199" spans="1:34" ht="26.25" customHeight="1" x14ac:dyDescent="0.2">
      <c r="A199" s="469"/>
      <c r="B199" s="474"/>
      <c r="C199" s="474"/>
      <c r="D199" s="273"/>
      <c r="E199" s="451"/>
      <c r="F199" s="451"/>
      <c r="G199" s="451"/>
      <c r="H199" s="451"/>
      <c r="I199" s="179"/>
      <c r="J199" s="451"/>
      <c r="K199" s="451"/>
      <c r="L199" s="451"/>
      <c r="M199" s="451"/>
      <c r="N199" s="451"/>
      <c r="O199" s="179"/>
      <c r="P199" s="451"/>
      <c r="Q199" s="451"/>
      <c r="R199" s="451"/>
      <c r="S199" s="451"/>
      <c r="T199" s="451"/>
      <c r="U199" s="179"/>
      <c r="V199" s="451"/>
      <c r="W199" s="451"/>
      <c r="X199" s="451"/>
      <c r="Y199" s="451"/>
      <c r="Z199" s="451"/>
      <c r="AA199" s="179"/>
      <c r="AB199" s="451"/>
      <c r="AC199" s="451"/>
      <c r="AD199" s="451"/>
      <c r="AE199" s="451"/>
      <c r="AF199" s="451"/>
      <c r="AG199" s="179"/>
      <c r="AH199" s="451"/>
    </row>
    <row r="200" spans="1:34" ht="15.75" customHeight="1" x14ac:dyDescent="0.2">
      <c r="A200" s="469"/>
      <c r="B200" s="474" t="s">
        <v>147</v>
      </c>
      <c r="C200" s="474"/>
      <c r="D200" s="25" t="s">
        <v>100</v>
      </c>
      <c r="E200" s="453">
        <v>1.8</v>
      </c>
      <c r="F200" s="453">
        <v>1.8</v>
      </c>
      <c r="G200" s="453">
        <v>1.8</v>
      </c>
      <c r="H200" s="453">
        <v>1.8</v>
      </c>
      <c r="I200" s="188"/>
      <c r="J200" s="453">
        <v>1.8</v>
      </c>
      <c r="K200" s="453">
        <v>1.8</v>
      </c>
      <c r="L200" s="453">
        <v>1.8</v>
      </c>
      <c r="M200" s="453">
        <v>1.8</v>
      </c>
      <c r="N200" s="453">
        <v>1.8</v>
      </c>
      <c r="O200" s="188"/>
      <c r="P200" s="453">
        <v>1.8</v>
      </c>
      <c r="Q200" s="453">
        <v>1.8</v>
      </c>
      <c r="R200" s="453">
        <v>1.8</v>
      </c>
      <c r="S200" s="453">
        <v>1.8</v>
      </c>
      <c r="T200" s="453">
        <v>1.8</v>
      </c>
      <c r="U200" s="188"/>
      <c r="V200" s="453">
        <v>1.8</v>
      </c>
      <c r="W200" s="453">
        <v>1.8</v>
      </c>
      <c r="X200" s="453">
        <v>1.8</v>
      </c>
      <c r="Y200" s="453">
        <v>1.8</v>
      </c>
      <c r="Z200" s="453">
        <v>1.8</v>
      </c>
      <c r="AA200" s="188"/>
      <c r="AB200" s="453">
        <v>1.8</v>
      </c>
      <c r="AC200" s="453">
        <v>1.8</v>
      </c>
      <c r="AD200" s="453">
        <v>1.8</v>
      </c>
      <c r="AE200" s="453">
        <v>1.8</v>
      </c>
      <c r="AF200" s="453">
        <v>1.8</v>
      </c>
      <c r="AG200" s="188"/>
      <c r="AH200" s="453">
        <v>1.8</v>
      </c>
    </row>
    <row r="201" spans="1:34" ht="26.25" customHeight="1" x14ac:dyDescent="0.2">
      <c r="A201" s="469"/>
      <c r="B201" s="474"/>
      <c r="C201" s="474"/>
      <c r="D201" s="46" t="s">
        <v>31</v>
      </c>
      <c r="E201" s="251"/>
      <c r="F201" s="251"/>
      <c r="G201" s="251"/>
      <c r="H201" s="251"/>
      <c r="I201" s="188"/>
      <c r="J201" s="251"/>
      <c r="K201" s="251"/>
      <c r="L201" s="251"/>
      <c r="M201" s="251"/>
      <c r="N201" s="251"/>
      <c r="O201" s="188"/>
      <c r="P201" s="251"/>
      <c r="Q201" s="251"/>
      <c r="R201" s="251"/>
      <c r="S201" s="251"/>
      <c r="T201" s="251"/>
      <c r="U201" s="188"/>
      <c r="V201" s="251"/>
      <c r="W201" s="251"/>
      <c r="X201" s="251"/>
      <c r="Y201" s="251"/>
      <c r="Z201" s="251"/>
      <c r="AA201" s="188"/>
      <c r="AB201" s="251"/>
      <c r="AC201" s="251"/>
      <c r="AD201" s="251"/>
      <c r="AE201" s="251"/>
      <c r="AF201" s="251"/>
      <c r="AG201" s="188"/>
      <c r="AH201" s="251"/>
    </row>
    <row r="202" spans="1:34" ht="15.75" customHeight="1" x14ac:dyDescent="0.2">
      <c r="A202" s="469"/>
      <c r="B202" s="465" t="s">
        <v>42</v>
      </c>
      <c r="C202" s="478" t="s">
        <v>26</v>
      </c>
      <c r="D202" s="273" t="s">
        <v>78</v>
      </c>
      <c r="E202" s="452">
        <v>1</v>
      </c>
      <c r="F202" s="452">
        <v>1</v>
      </c>
      <c r="G202" s="452">
        <v>1</v>
      </c>
      <c r="H202" s="452">
        <v>1</v>
      </c>
      <c r="I202" s="188"/>
      <c r="J202" s="452">
        <v>1</v>
      </c>
      <c r="K202" s="452">
        <v>1</v>
      </c>
      <c r="L202" s="452">
        <v>1</v>
      </c>
      <c r="M202" s="452">
        <v>1</v>
      </c>
      <c r="N202" s="452">
        <v>1</v>
      </c>
      <c r="O202" s="188"/>
      <c r="P202" s="452">
        <v>1</v>
      </c>
      <c r="Q202" s="452">
        <v>1</v>
      </c>
      <c r="R202" s="452">
        <v>1</v>
      </c>
      <c r="S202" s="452">
        <v>1</v>
      </c>
      <c r="T202" s="452">
        <v>1</v>
      </c>
      <c r="U202" s="188"/>
      <c r="V202" s="452">
        <v>1</v>
      </c>
      <c r="W202" s="452">
        <v>1</v>
      </c>
      <c r="X202" s="452">
        <v>1</v>
      </c>
      <c r="Y202" s="452">
        <v>1</v>
      </c>
      <c r="Z202" s="452">
        <v>1</v>
      </c>
      <c r="AA202" s="188"/>
      <c r="AB202" s="452">
        <v>1</v>
      </c>
      <c r="AC202" s="452">
        <v>1</v>
      </c>
      <c r="AD202" s="452">
        <v>1</v>
      </c>
      <c r="AE202" s="452">
        <v>1</v>
      </c>
      <c r="AF202" s="452">
        <v>1</v>
      </c>
      <c r="AG202" s="188"/>
      <c r="AH202" s="452">
        <v>1</v>
      </c>
    </row>
    <row r="203" spans="1:34" ht="15.75" customHeight="1" x14ac:dyDescent="0.2">
      <c r="A203" s="469"/>
      <c r="B203" s="465"/>
      <c r="C203" s="478"/>
      <c r="D203" s="273"/>
      <c r="E203" s="452"/>
      <c r="F203" s="452"/>
      <c r="G203" s="452"/>
      <c r="H203" s="452"/>
      <c r="I203" s="188"/>
      <c r="J203" s="452"/>
      <c r="K203" s="452"/>
      <c r="L203" s="452"/>
      <c r="M203" s="452"/>
      <c r="N203" s="452"/>
      <c r="O203" s="188"/>
      <c r="P203" s="452"/>
      <c r="Q203" s="452"/>
      <c r="R203" s="452"/>
      <c r="S203" s="452"/>
      <c r="T203" s="452"/>
      <c r="U203" s="188"/>
      <c r="V203" s="452"/>
      <c r="W203" s="452"/>
      <c r="X203" s="452"/>
      <c r="Y203" s="452"/>
      <c r="Z203" s="452"/>
      <c r="AA203" s="188"/>
      <c r="AB203" s="452"/>
      <c r="AC203" s="452"/>
      <c r="AD203" s="452"/>
      <c r="AE203" s="452"/>
      <c r="AF203" s="452"/>
      <c r="AG203" s="188"/>
      <c r="AH203" s="452"/>
    </row>
    <row r="204" spans="1:34" ht="15.75" customHeight="1" x14ac:dyDescent="0.2">
      <c r="A204" s="469"/>
      <c r="B204" s="465"/>
      <c r="C204" s="478" t="s">
        <v>7</v>
      </c>
      <c r="D204" s="273" t="s">
        <v>78</v>
      </c>
      <c r="E204" s="452">
        <v>1</v>
      </c>
      <c r="F204" s="452">
        <v>1</v>
      </c>
      <c r="G204" s="452">
        <v>1</v>
      </c>
      <c r="H204" s="452">
        <v>1</v>
      </c>
      <c r="I204" s="188"/>
      <c r="J204" s="452">
        <v>1</v>
      </c>
      <c r="K204" s="452">
        <v>1</v>
      </c>
      <c r="L204" s="452">
        <v>1</v>
      </c>
      <c r="M204" s="452">
        <v>1</v>
      </c>
      <c r="N204" s="452">
        <v>1</v>
      </c>
      <c r="O204" s="188"/>
      <c r="P204" s="452">
        <v>1</v>
      </c>
      <c r="Q204" s="452">
        <v>1</v>
      </c>
      <c r="R204" s="452">
        <v>1</v>
      </c>
      <c r="S204" s="452">
        <v>1</v>
      </c>
      <c r="T204" s="452">
        <v>1</v>
      </c>
      <c r="U204" s="188"/>
      <c r="V204" s="452">
        <v>1</v>
      </c>
      <c r="W204" s="452">
        <v>1</v>
      </c>
      <c r="X204" s="452">
        <v>1</v>
      </c>
      <c r="Y204" s="452">
        <v>1</v>
      </c>
      <c r="Z204" s="452">
        <v>1</v>
      </c>
      <c r="AA204" s="188"/>
      <c r="AB204" s="452">
        <v>1</v>
      </c>
      <c r="AC204" s="452">
        <v>1</v>
      </c>
      <c r="AD204" s="452">
        <v>1</v>
      </c>
      <c r="AE204" s="452">
        <v>1</v>
      </c>
      <c r="AF204" s="452">
        <v>1</v>
      </c>
      <c r="AG204" s="188"/>
      <c r="AH204" s="452">
        <v>1</v>
      </c>
    </row>
    <row r="205" spans="1:34" ht="15.75" customHeight="1" x14ac:dyDescent="0.2">
      <c r="A205" s="469"/>
      <c r="B205" s="465"/>
      <c r="C205" s="478"/>
      <c r="D205" s="273"/>
      <c r="E205" s="452"/>
      <c r="F205" s="452"/>
      <c r="G205" s="452"/>
      <c r="H205" s="452"/>
      <c r="I205" s="188"/>
      <c r="J205" s="452"/>
      <c r="K205" s="452"/>
      <c r="L205" s="452"/>
      <c r="M205" s="452"/>
      <c r="N205" s="452"/>
      <c r="O205" s="188"/>
      <c r="P205" s="452"/>
      <c r="Q205" s="452"/>
      <c r="R205" s="452"/>
      <c r="S205" s="452"/>
      <c r="T205" s="452"/>
      <c r="U205" s="188"/>
      <c r="V205" s="452"/>
      <c r="W205" s="452"/>
      <c r="X205" s="452"/>
      <c r="Y205" s="452"/>
      <c r="Z205" s="452"/>
      <c r="AA205" s="188"/>
      <c r="AB205" s="452"/>
      <c r="AC205" s="452"/>
      <c r="AD205" s="452"/>
      <c r="AE205" s="452"/>
      <c r="AF205" s="452"/>
      <c r="AG205" s="188"/>
      <c r="AH205" s="452"/>
    </row>
    <row r="206" spans="1:34" ht="15.75" customHeight="1" x14ac:dyDescent="0.2">
      <c r="A206" s="469"/>
      <c r="B206" s="465"/>
      <c r="C206" s="478" t="s">
        <v>8</v>
      </c>
      <c r="D206" s="273" t="s">
        <v>78</v>
      </c>
      <c r="E206" s="452">
        <v>1</v>
      </c>
      <c r="F206" s="452">
        <v>1</v>
      </c>
      <c r="G206" s="452">
        <v>1</v>
      </c>
      <c r="H206" s="452">
        <v>1</v>
      </c>
      <c r="I206" s="188"/>
      <c r="J206" s="452">
        <v>1</v>
      </c>
      <c r="K206" s="452">
        <v>1</v>
      </c>
      <c r="L206" s="452">
        <v>1</v>
      </c>
      <c r="M206" s="452">
        <v>1</v>
      </c>
      <c r="N206" s="452">
        <v>1</v>
      </c>
      <c r="O206" s="188"/>
      <c r="P206" s="452">
        <v>1</v>
      </c>
      <c r="Q206" s="452">
        <v>1</v>
      </c>
      <c r="R206" s="452">
        <v>1</v>
      </c>
      <c r="S206" s="452">
        <v>1</v>
      </c>
      <c r="T206" s="452">
        <v>1</v>
      </c>
      <c r="U206" s="188"/>
      <c r="V206" s="452">
        <v>1</v>
      </c>
      <c r="W206" s="452">
        <v>1</v>
      </c>
      <c r="X206" s="452">
        <v>1</v>
      </c>
      <c r="Y206" s="452">
        <v>1</v>
      </c>
      <c r="Z206" s="452">
        <v>1</v>
      </c>
      <c r="AA206" s="188"/>
      <c r="AB206" s="452">
        <v>1</v>
      </c>
      <c r="AC206" s="452">
        <v>1</v>
      </c>
      <c r="AD206" s="452">
        <v>1</v>
      </c>
      <c r="AE206" s="452">
        <v>1</v>
      </c>
      <c r="AF206" s="452">
        <v>1</v>
      </c>
      <c r="AG206" s="188"/>
      <c r="AH206" s="452">
        <v>1</v>
      </c>
    </row>
    <row r="207" spans="1:34" ht="15.75" customHeight="1" x14ac:dyDescent="0.2">
      <c r="A207" s="469"/>
      <c r="B207" s="465"/>
      <c r="C207" s="478"/>
      <c r="D207" s="273"/>
      <c r="E207" s="452"/>
      <c r="F207" s="452"/>
      <c r="G207" s="452"/>
      <c r="H207" s="452"/>
      <c r="I207" s="188"/>
      <c r="J207" s="452"/>
      <c r="K207" s="452"/>
      <c r="L207" s="452"/>
      <c r="M207" s="452"/>
      <c r="N207" s="452"/>
      <c r="O207" s="188"/>
      <c r="P207" s="452"/>
      <c r="Q207" s="452"/>
      <c r="R207" s="452"/>
      <c r="S207" s="452"/>
      <c r="T207" s="452"/>
      <c r="U207" s="188"/>
      <c r="V207" s="452"/>
      <c r="W207" s="452"/>
      <c r="X207" s="452"/>
      <c r="Y207" s="452"/>
      <c r="Z207" s="452"/>
      <c r="AA207" s="188"/>
      <c r="AB207" s="452"/>
      <c r="AC207" s="452"/>
      <c r="AD207" s="452"/>
      <c r="AE207" s="452"/>
      <c r="AF207" s="452"/>
      <c r="AG207" s="188"/>
      <c r="AH207" s="452"/>
    </row>
    <row r="208" spans="1:34" ht="15.75" customHeight="1" x14ac:dyDescent="0.2">
      <c r="A208" s="469"/>
      <c r="B208" s="468" t="s">
        <v>130</v>
      </c>
      <c r="C208" s="468"/>
      <c r="D208" s="273" t="s">
        <v>78</v>
      </c>
      <c r="E208" s="452">
        <f>8.27/22</f>
        <v>0.37590909090909091</v>
      </c>
      <c r="F208" s="452">
        <f>8.27/22</f>
        <v>0.37590909090909091</v>
      </c>
      <c r="G208" s="452">
        <f>8.27/22</f>
        <v>0.37590909090909091</v>
      </c>
      <c r="H208" s="452">
        <f>8.27/22</f>
        <v>0.37590909090909091</v>
      </c>
      <c r="I208" s="179"/>
      <c r="J208" s="452">
        <f>8.27/22</f>
        <v>0.37590909090909091</v>
      </c>
      <c r="K208" s="452">
        <f>8.27/22</f>
        <v>0.37590909090909091</v>
      </c>
      <c r="L208" s="452">
        <f>8.27/22</f>
        <v>0.37590909090909091</v>
      </c>
      <c r="M208" s="452">
        <f>8.27/22</f>
        <v>0.37590909090909091</v>
      </c>
      <c r="N208" s="452">
        <f>8.27/22</f>
        <v>0.37590909090909091</v>
      </c>
      <c r="O208" s="179"/>
      <c r="P208" s="452">
        <f>8.27/22</f>
        <v>0.37590909090909091</v>
      </c>
      <c r="Q208" s="452">
        <f>8.27/22</f>
        <v>0.37590909090909091</v>
      </c>
      <c r="R208" s="452">
        <f>8.27/22</f>
        <v>0.37590909090909091</v>
      </c>
      <c r="S208" s="452">
        <f>8.27/22</f>
        <v>0.37590909090909091</v>
      </c>
      <c r="T208" s="452">
        <f>8.27/22</f>
        <v>0.37590909090909091</v>
      </c>
      <c r="U208" s="179"/>
      <c r="V208" s="452">
        <f>8.27/22</f>
        <v>0.37590909090909091</v>
      </c>
      <c r="W208" s="452">
        <f>8.27/22</f>
        <v>0.37590909090909091</v>
      </c>
      <c r="X208" s="452">
        <f>8.27/22</f>
        <v>0.37590909090909091</v>
      </c>
      <c r="Y208" s="452">
        <f>8.27/22</f>
        <v>0.37590909090909091</v>
      </c>
      <c r="Z208" s="452">
        <f>8.27/22</f>
        <v>0.37590909090909091</v>
      </c>
      <c r="AA208" s="179"/>
      <c r="AB208" s="452">
        <f>8.27/22</f>
        <v>0.37590909090909091</v>
      </c>
      <c r="AC208" s="452">
        <f>8.27/22</f>
        <v>0.37590909090909091</v>
      </c>
      <c r="AD208" s="452">
        <f>8.27/22</f>
        <v>0.37590909090909091</v>
      </c>
      <c r="AE208" s="452">
        <f>8.27/22</f>
        <v>0.37590909090909091</v>
      </c>
      <c r="AF208" s="452">
        <f>8.27/22</f>
        <v>0.37590909090909091</v>
      </c>
      <c r="AG208" s="179"/>
      <c r="AH208" s="452">
        <f>8.27/22</f>
        <v>0.37590909090909091</v>
      </c>
    </row>
    <row r="209" spans="1:34" x14ac:dyDescent="0.2">
      <c r="A209" s="469"/>
      <c r="B209" s="468"/>
      <c r="C209" s="468"/>
      <c r="D209" s="273"/>
      <c r="E209" s="452"/>
      <c r="F209" s="452"/>
      <c r="G209" s="452"/>
      <c r="H209" s="452"/>
      <c r="I209" s="179"/>
      <c r="J209" s="452"/>
      <c r="K209" s="452"/>
      <c r="L209" s="452"/>
      <c r="M209" s="452"/>
      <c r="N209" s="452"/>
      <c r="O209" s="179"/>
      <c r="P209" s="452"/>
      <c r="Q209" s="452"/>
      <c r="R209" s="452"/>
      <c r="S209" s="452"/>
      <c r="T209" s="452"/>
      <c r="U209" s="179"/>
      <c r="V209" s="452"/>
      <c r="W209" s="452"/>
      <c r="X209" s="452"/>
      <c r="Y209" s="452"/>
      <c r="Z209" s="452"/>
      <c r="AA209" s="179"/>
      <c r="AB209" s="452"/>
      <c r="AC209" s="452"/>
      <c r="AD209" s="452"/>
      <c r="AE209" s="452"/>
      <c r="AF209" s="452"/>
      <c r="AG209" s="179"/>
      <c r="AH209" s="452"/>
    </row>
    <row r="210" spans="1:34" ht="15.75" customHeight="1" x14ac:dyDescent="0.2">
      <c r="A210" s="469"/>
      <c r="B210" s="465" t="s">
        <v>131</v>
      </c>
      <c r="C210" s="465"/>
      <c r="D210" s="273" t="s">
        <v>78</v>
      </c>
      <c r="E210" s="452">
        <v>1</v>
      </c>
      <c r="F210" s="452">
        <v>1</v>
      </c>
      <c r="G210" s="452">
        <v>1</v>
      </c>
      <c r="H210" s="452">
        <v>1</v>
      </c>
      <c r="I210" s="179"/>
      <c r="J210" s="452">
        <v>1</v>
      </c>
      <c r="K210" s="452">
        <v>1</v>
      </c>
      <c r="L210" s="452">
        <v>1</v>
      </c>
      <c r="M210" s="452">
        <v>1</v>
      </c>
      <c r="N210" s="452">
        <v>1</v>
      </c>
      <c r="O210" s="179"/>
      <c r="P210" s="452">
        <v>1</v>
      </c>
      <c r="Q210" s="452">
        <v>1</v>
      </c>
      <c r="R210" s="452">
        <v>1</v>
      </c>
      <c r="S210" s="452">
        <v>1</v>
      </c>
      <c r="T210" s="452">
        <v>1</v>
      </c>
      <c r="U210" s="179"/>
      <c r="V210" s="452">
        <v>1</v>
      </c>
      <c r="W210" s="452">
        <v>1</v>
      </c>
      <c r="X210" s="452">
        <v>1</v>
      </c>
      <c r="Y210" s="452">
        <v>1</v>
      </c>
      <c r="Z210" s="452">
        <v>1</v>
      </c>
      <c r="AA210" s="179"/>
      <c r="AB210" s="452">
        <v>1</v>
      </c>
      <c r="AC210" s="452">
        <v>1</v>
      </c>
      <c r="AD210" s="452">
        <v>1</v>
      </c>
      <c r="AE210" s="452">
        <v>1</v>
      </c>
      <c r="AF210" s="452">
        <v>1</v>
      </c>
      <c r="AG210" s="179"/>
      <c r="AH210" s="452">
        <v>1</v>
      </c>
    </row>
    <row r="211" spans="1:34" ht="15.75" customHeight="1" x14ac:dyDescent="0.2">
      <c r="A211" s="469"/>
      <c r="B211" s="465"/>
      <c r="C211" s="465"/>
      <c r="D211" s="273"/>
      <c r="E211" s="452"/>
      <c r="F211" s="452"/>
      <c r="G211" s="452"/>
      <c r="H211" s="452"/>
      <c r="I211" s="179"/>
      <c r="J211" s="452"/>
      <c r="K211" s="452"/>
      <c r="L211" s="452"/>
      <c r="M211" s="452"/>
      <c r="N211" s="452"/>
      <c r="O211" s="179"/>
      <c r="P211" s="452"/>
      <c r="Q211" s="452"/>
      <c r="R211" s="452"/>
      <c r="S211" s="452"/>
      <c r="T211" s="452"/>
      <c r="U211" s="179"/>
      <c r="V211" s="452"/>
      <c r="W211" s="452"/>
      <c r="X211" s="452"/>
      <c r="Y211" s="452"/>
      <c r="Z211" s="452"/>
      <c r="AA211" s="179"/>
      <c r="AB211" s="452"/>
      <c r="AC211" s="452"/>
      <c r="AD211" s="452"/>
      <c r="AE211" s="452"/>
      <c r="AF211" s="452"/>
      <c r="AG211" s="179"/>
      <c r="AH211" s="452"/>
    </row>
    <row r="212" spans="1:34" ht="15.75" customHeight="1" x14ac:dyDescent="0.2">
      <c r="A212" s="176">
        <v>2.2000000000000002</v>
      </c>
      <c r="B212" s="498" t="s">
        <v>33</v>
      </c>
      <c r="C212" s="499"/>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469"/>
      <c r="B213" s="465" t="s">
        <v>43</v>
      </c>
      <c r="C213" s="465"/>
      <c r="D213" s="273" t="s">
        <v>78</v>
      </c>
      <c r="E213" s="452">
        <v>0</v>
      </c>
      <c r="F213" s="452">
        <v>0</v>
      </c>
      <c r="G213" s="452">
        <v>0</v>
      </c>
      <c r="H213" s="452">
        <v>0</v>
      </c>
      <c r="I213" s="179"/>
      <c r="J213" s="452">
        <v>0</v>
      </c>
      <c r="K213" s="452">
        <v>0</v>
      </c>
      <c r="L213" s="452">
        <v>0</v>
      </c>
      <c r="M213" s="452">
        <v>0</v>
      </c>
      <c r="N213" s="452">
        <v>0</v>
      </c>
      <c r="O213" s="179"/>
      <c r="P213" s="452">
        <v>0</v>
      </c>
      <c r="Q213" s="452">
        <v>0</v>
      </c>
      <c r="R213" s="452">
        <v>0</v>
      </c>
      <c r="S213" s="452">
        <v>0</v>
      </c>
      <c r="T213" s="452">
        <v>0</v>
      </c>
      <c r="U213" s="179"/>
      <c r="V213" s="452">
        <v>0</v>
      </c>
      <c r="W213" s="452">
        <v>0</v>
      </c>
      <c r="X213" s="452">
        <v>0</v>
      </c>
      <c r="Y213" s="452">
        <v>0</v>
      </c>
      <c r="Z213" s="452">
        <v>0</v>
      </c>
      <c r="AA213" s="179"/>
      <c r="AB213" s="452">
        <v>0</v>
      </c>
      <c r="AC213" s="452">
        <v>0</v>
      </c>
      <c r="AD213" s="452">
        <v>0</v>
      </c>
      <c r="AE213" s="452">
        <v>0</v>
      </c>
      <c r="AF213" s="452">
        <v>0</v>
      </c>
      <c r="AG213" s="179"/>
      <c r="AH213" s="452">
        <v>0</v>
      </c>
    </row>
    <row r="214" spans="1:34" x14ac:dyDescent="0.2">
      <c r="A214" s="469"/>
      <c r="B214" s="465"/>
      <c r="C214" s="465"/>
      <c r="D214" s="273"/>
      <c r="E214" s="452"/>
      <c r="F214" s="452"/>
      <c r="G214" s="452"/>
      <c r="H214" s="452"/>
      <c r="I214" s="179"/>
      <c r="J214" s="452"/>
      <c r="K214" s="452"/>
      <c r="L214" s="452"/>
      <c r="M214" s="452"/>
      <c r="N214" s="452"/>
      <c r="O214" s="179"/>
      <c r="P214" s="452"/>
      <c r="Q214" s="452"/>
      <c r="R214" s="452"/>
      <c r="S214" s="452"/>
      <c r="T214" s="452"/>
      <c r="U214" s="179"/>
      <c r="V214" s="452"/>
      <c r="W214" s="452"/>
      <c r="X214" s="452"/>
      <c r="Y214" s="452"/>
      <c r="Z214" s="452"/>
      <c r="AA214" s="179"/>
      <c r="AB214" s="452"/>
      <c r="AC214" s="452"/>
      <c r="AD214" s="452"/>
      <c r="AE214" s="452"/>
      <c r="AF214" s="452"/>
      <c r="AG214" s="179"/>
      <c r="AH214" s="452"/>
    </row>
    <row r="215" spans="1:34" ht="15.75" customHeight="1" x14ac:dyDescent="0.2">
      <c r="A215" s="469"/>
      <c r="B215" s="465" t="s">
        <v>44</v>
      </c>
      <c r="C215" s="465"/>
      <c r="D215" s="273" t="s">
        <v>78</v>
      </c>
      <c r="E215" s="452">
        <v>0</v>
      </c>
      <c r="F215" s="452">
        <v>0</v>
      </c>
      <c r="G215" s="452">
        <v>0</v>
      </c>
      <c r="H215" s="452">
        <v>0</v>
      </c>
      <c r="I215" s="179"/>
      <c r="J215" s="452">
        <v>0</v>
      </c>
      <c r="K215" s="452">
        <v>0</v>
      </c>
      <c r="L215" s="452">
        <v>0</v>
      </c>
      <c r="M215" s="452">
        <v>0</v>
      </c>
      <c r="N215" s="452">
        <v>0</v>
      </c>
      <c r="O215" s="179"/>
      <c r="P215" s="452">
        <v>0</v>
      </c>
      <c r="Q215" s="452">
        <v>0</v>
      </c>
      <c r="R215" s="452">
        <v>0</v>
      </c>
      <c r="S215" s="452">
        <v>0</v>
      </c>
      <c r="T215" s="452">
        <v>0</v>
      </c>
      <c r="U215" s="179"/>
      <c r="V215" s="452">
        <v>0</v>
      </c>
      <c r="W215" s="452">
        <v>0</v>
      </c>
      <c r="X215" s="452">
        <v>0</v>
      </c>
      <c r="Y215" s="452">
        <v>0</v>
      </c>
      <c r="Z215" s="452">
        <v>0</v>
      </c>
      <c r="AA215" s="179"/>
      <c r="AB215" s="452">
        <v>0</v>
      </c>
      <c r="AC215" s="452">
        <v>0</v>
      </c>
      <c r="AD215" s="452">
        <v>0</v>
      </c>
      <c r="AE215" s="452">
        <v>0</v>
      </c>
      <c r="AF215" s="452">
        <v>0</v>
      </c>
      <c r="AG215" s="179"/>
      <c r="AH215" s="452">
        <v>0</v>
      </c>
    </row>
    <row r="216" spans="1:34" x14ac:dyDescent="0.2">
      <c r="A216" s="469"/>
      <c r="B216" s="465"/>
      <c r="C216" s="465"/>
      <c r="D216" s="273"/>
      <c r="E216" s="452"/>
      <c r="F216" s="452"/>
      <c r="G216" s="452"/>
      <c r="H216" s="452"/>
      <c r="I216" s="179"/>
      <c r="J216" s="452"/>
      <c r="K216" s="452"/>
      <c r="L216" s="452"/>
      <c r="M216" s="452"/>
      <c r="N216" s="452"/>
      <c r="O216" s="179"/>
      <c r="P216" s="452"/>
      <c r="Q216" s="452"/>
      <c r="R216" s="452"/>
      <c r="S216" s="452"/>
      <c r="T216" s="452"/>
      <c r="U216" s="179"/>
      <c r="V216" s="452"/>
      <c r="W216" s="452"/>
      <c r="X216" s="452"/>
      <c r="Y216" s="452"/>
      <c r="Z216" s="452"/>
      <c r="AA216" s="179"/>
      <c r="AB216" s="452"/>
      <c r="AC216" s="452"/>
      <c r="AD216" s="452"/>
      <c r="AE216" s="452"/>
      <c r="AF216" s="452"/>
      <c r="AG216" s="179"/>
      <c r="AH216" s="452"/>
    </row>
    <row r="217" spans="1:34" ht="21.75" customHeight="1" x14ac:dyDescent="0.2">
      <c r="A217" s="469"/>
      <c r="B217" s="465" t="s">
        <v>153</v>
      </c>
      <c r="C217" s="465"/>
      <c r="D217" s="25" t="s">
        <v>100</v>
      </c>
      <c r="E217" s="453">
        <v>0</v>
      </c>
      <c r="F217" s="453">
        <v>0</v>
      </c>
      <c r="G217" s="453">
        <v>0</v>
      </c>
      <c r="H217" s="453">
        <v>0</v>
      </c>
      <c r="I217" s="188"/>
      <c r="J217" s="453">
        <v>0</v>
      </c>
      <c r="K217" s="453">
        <v>0</v>
      </c>
      <c r="L217" s="453">
        <v>0</v>
      </c>
      <c r="M217" s="453">
        <v>0</v>
      </c>
      <c r="N217" s="453">
        <v>0</v>
      </c>
      <c r="O217" s="188"/>
      <c r="P217" s="453">
        <v>0</v>
      </c>
      <c r="Q217" s="453">
        <v>0</v>
      </c>
      <c r="R217" s="453">
        <v>0</v>
      </c>
      <c r="S217" s="453">
        <v>0</v>
      </c>
      <c r="T217" s="453">
        <v>0</v>
      </c>
      <c r="U217" s="188"/>
      <c r="V217" s="453">
        <v>0</v>
      </c>
      <c r="W217" s="453">
        <v>0</v>
      </c>
      <c r="X217" s="453">
        <v>0</v>
      </c>
      <c r="Y217" s="453">
        <v>0</v>
      </c>
      <c r="Z217" s="453">
        <v>0</v>
      </c>
      <c r="AA217" s="188"/>
      <c r="AB217" s="453">
        <v>0</v>
      </c>
      <c r="AC217" s="453">
        <v>0</v>
      </c>
      <c r="AD217" s="453">
        <v>0</v>
      </c>
      <c r="AE217" s="453">
        <v>0</v>
      </c>
      <c r="AF217" s="453">
        <v>0</v>
      </c>
      <c r="AG217" s="188"/>
      <c r="AH217" s="453">
        <v>0</v>
      </c>
    </row>
    <row r="218" spans="1:34" ht="23.25" customHeight="1" x14ac:dyDescent="0.2">
      <c r="A218" s="469"/>
      <c r="B218" s="465"/>
      <c r="C218" s="465"/>
      <c r="D218" s="19" t="s">
        <v>31</v>
      </c>
      <c r="E218" s="251"/>
      <c r="F218" s="251"/>
      <c r="G218" s="251"/>
      <c r="H218" s="251"/>
      <c r="I218" s="188"/>
      <c r="J218" s="251"/>
      <c r="K218" s="251"/>
      <c r="L218" s="251"/>
      <c r="M218" s="251"/>
      <c r="N218" s="251"/>
      <c r="O218" s="188"/>
      <c r="P218" s="251"/>
      <c r="Q218" s="251"/>
      <c r="R218" s="251"/>
      <c r="S218" s="251"/>
      <c r="T218" s="251"/>
      <c r="U218" s="188"/>
      <c r="V218" s="251"/>
      <c r="W218" s="251"/>
      <c r="X218" s="251"/>
      <c r="Y218" s="251"/>
      <c r="Z218" s="251"/>
      <c r="AA218" s="188"/>
      <c r="AB218" s="251"/>
      <c r="AC218" s="251"/>
      <c r="AD218" s="251"/>
      <c r="AE218" s="251"/>
      <c r="AF218" s="251"/>
      <c r="AG218" s="188"/>
      <c r="AH218" s="251"/>
    </row>
    <row r="219" spans="1:34" x14ac:dyDescent="0.2">
      <c r="A219" s="181"/>
      <c r="B219" s="182"/>
      <c r="C219" s="182"/>
      <c r="D219" s="33"/>
      <c r="E219" s="199"/>
      <c r="F219" s="199"/>
      <c r="G219" s="199"/>
      <c r="H219" s="199"/>
      <c r="I219" s="200"/>
      <c r="J219" s="200"/>
      <c r="K219" s="199"/>
      <c r="L219" s="199"/>
      <c r="M219" s="199"/>
      <c r="N219" s="199"/>
      <c r="O219" s="200"/>
      <c r="P219" s="200"/>
      <c r="Q219" s="199"/>
      <c r="R219" s="199"/>
      <c r="S219" s="199"/>
      <c r="T219" s="199"/>
      <c r="U219" s="200"/>
      <c r="V219" s="200"/>
      <c r="W219" s="199"/>
      <c r="X219" s="199"/>
      <c r="Y219" s="199"/>
      <c r="Z219" s="199"/>
      <c r="AA219" s="200"/>
      <c r="AB219" s="200"/>
      <c r="AC219" s="199"/>
      <c r="AD219" s="199"/>
      <c r="AE219" s="199"/>
      <c r="AF219" s="199"/>
      <c r="AG219" s="200"/>
      <c r="AH219" s="200"/>
    </row>
    <row r="220" spans="1:34" x14ac:dyDescent="0.2">
      <c r="A220" s="176" t="s">
        <v>34</v>
      </c>
      <c r="B220" s="205"/>
      <c r="C220" s="205"/>
      <c r="D220" s="49"/>
      <c r="E220" s="200"/>
      <c r="F220" s="200"/>
      <c r="G220" s="202"/>
      <c r="H220" s="200"/>
      <c r="I220" s="200"/>
      <c r="J220" s="200"/>
      <c r="K220" s="200"/>
      <c r="L220" s="200"/>
      <c r="M220" s="202"/>
      <c r="N220" s="200"/>
      <c r="O220" s="200"/>
      <c r="P220" s="200"/>
      <c r="Q220" s="200"/>
      <c r="R220" s="200"/>
      <c r="S220" s="202"/>
      <c r="T220" s="200"/>
      <c r="U220" s="200"/>
      <c r="V220" s="200"/>
      <c r="W220" s="200"/>
      <c r="X220" s="200"/>
      <c r="Y220" s="202"/>
      <c r="Z220" s="200"/>
      <c r="AA220" s="200"/>
      <c r="AB220" s="200"/>
      <c r="AC220" s="200"/>
      <c r="AD220" s="200"/>
      <c r="AE220" s="202"/>
      <c r="AF220" s="200"/>
      <c r="AG220" s="200"/>
      <c r="AH220" s="200"/>
    </row>
    <row r="221" spans="1:34" x14ac:dyDescent="0.2">
      <c r="A221" s="176"/>
      <c r="B221" s="205"/>
      <c r="C221" s="205"/>
      <c r="D221" s="49"/>
      <c r="E221" s="200"/>
      <c r="F221" s="200"/>
      <c r="G221" s="200"/>
      <c r="H221" s="200"/>
      <c r="I221" s="179"/>
      <c r="J221" s="179"/>
      <c r="K221" s="200"/>
      <c r="L221" s="200"/>
      <c r="M221" s="200"/>
      <c r="N221" s="200"/>
      <c r="O221" s="179"/>
      <c r="P221" s="179"/>
      <c r="Q221" s="200"/>
      <c r="R221" s="200"/>
      <c r="S221" s="200"/>
      <c r="T221" s="200"/>
      <c r="U221" s="179"/>
      <c r="V221" s="179"/>
      <c r="W221" s="200"/>
      <c r="X221" s="200"/>
      <c r="Y221" s="200"/>
      <c r="Z221" s="200"/>
      <c r="AA221" s="179"/>
      <c r="AB221" s="179"/>
      <c r="AC221" s="200"/>
      <c r="AD221" s="200"/>
      <c r="AE221" s="200"/>
      <c r="AF221" s="200"/>
      <c r="AG221" s="179"/>
      <c r="AH221" s="179"/>
    </row>
    <row r="222" spans="1:34" ht="33" customHeight="1" x14ac:dyDescent="0.2">
      <c r="A222" s="470"/>
      <c r="B222" s="471" t="s">
        <v>38</v>
      </c>
      <c r="C222" s="470"/>
      <c r="D222" s="22"/>
      <c r="E222" s="178">
        <v>2026</v>
      </c>
      <c r="F222" s="178"/>
      <c r="G222" s="461"/>
      <c r="H222" s="461"/>
      <c r="I222" s="180" t="s">
        <v>5</v>
      </c>
      <c r="J222" s="180"/>
      <c r="K222" s="178">
        <v>2027</v>
      </c>
      <c r="L222" s="178"/>
      <c r="M222" s="461"/>
      <c r="N222" s="461"/>
      <c r="O222" s="180" t="s">
        <v>5</v>
      </c>
      <c r="P222" s="180"/>
      <c r="Q222" s="178">
        <v>2028</v>
      </c>
      <c r="R222" s="178"/>
      <c r="S222" s="461"/>
      <c r="T222" s="461"/>
      <c r="U222" s="180" t="s">
        <v>5</v>
      </c>
      <c r="V222" s="180"/>
      <c r="W222" s="178"/>
      <c r="X222" s="178"/>
      <c r="Y222" s="461">
        <v>2029</v>
      </c>
      <c r="Z222" s="461"/>
      <c r="AA222" s="180" t="s">
        <v>5</v>
      </c>
      <c r="AB222" s="180"/>
      <c r="AC222" s="178">
        <v>2030</v>
      </c>
      <c r="AD222" s="178"/>
      <c r="AE222" s="461"/>
      <c r="AF222" s="461"/>
      <c r="AG222" s="180" t="s">
        <v>5</v>
      </c>
      <c r="AH222" s="180"/>
    </row>
    <row r="223" spans="1:34" ht="23.25" customHeight="1" x14ac:dyDescent="0.2">
      <c r="A223" s="470"/>
      <c r="B223" s="471"/>
      <c r="C223" s="470"/>
      <c r="D223" s="40"/>
      <c r="E223" s="176" t="s">
        <v>1</v>
      </c>
      <c r="F223" s="176" t="s">
        <v>2</v>
      </c>
      <c r="G223" s="176" t="s">
        <v>3</v>
      </c>
      <c r="H223" s="176" t="s">
        <v>4</v>
      </c>
      <c r="I223" s="178">
        <v>9</v>
      </c>
      <c r="J223" s="178"/>
      <c r="K223" s="176" t="s">
        <v>1</v>
      </c>
      <c r="L223" s="176" t="s">
        <v>2</v>
      </c>
      <c r="M223" s="176" t="s">
        <v>3</v>
      </c>
      <c r="N223" s="176" t="s">
        <v>4</v>
      </c>
      <c r="O223" s="178">
        <v>9</v>
      </c>
      <c r="P223" s="178"/>
      <c r="Q223" s="176" t="s">
        <v>1</v>
      </c>
      <c r="R223" s="176" t="s">
        <v>2</v>
      </c>
      <c r="S223" s="176" t="s">
        <v>3</v>
      </c>
      <c r="T223" s="176" t="s">
        <v>4</v>
      </c>
      <c r="U223" s="178">
        <v>9</v>
      </c>
      <c r="V223" s="178"/>
      <c r="W223" s="176"/>
      <c r="X223" s="176"/>
      <c r="Y223" s="176" t="s">
        <v>3</v>
      </c>
      <c r="Z223" s="176" t="s">
        <v>4</v>
      </c>
      <c r="AA223" s="178">
        <v>9</v>
      </c>
      <c r="AB223" s="178"/>
      <c r="AC223" s="176" t="s">
        <v>1</v>
      </c>
      <c r="AD223" s="176" t="s">
        <v>2</v>
      </c>
      <c r="AE223" s="176" t="s">
        <v>3</v>
      </c>
      <c r="AF223" s="176" t="s">
        <v>4</v>
      </c>
      <c r="AG223" s="178">
        <v>9</v>
      </c>
      <c r="AH223" s="178"/>
    </row>
    <row r="224" spans="1:34" x14ac:dyDescent="0.2">
      <c r="A224" s="178">
        <v>0</v>
      </c>
      <c r="B224" s="178">
        <v>1</v>
      </c>
      <c r="C224" s="178">
        <v>2</v>
      </c>
      <c r="D224" s="22">
        <v>3</v>
      </c>
      <c r="E224" s="178" t="s">
        <v>113</v>
      </c>
      <c r="F224" s="178" t="s">
        <v>114</v>
      </c>
      <c r="G224" s="178" t="s">
        <v>115</v>
      </c>
      <c r="H224" s="178" t="s">
        <v>116</v>
      </c>
      <c r="I224" s="178"/>
      <c r="J224" s="178"/>
      <c r="K224" s="178" t="s">
        <v>113</v>
      </c>
      <c r="L224" s="178" t="s">
        <v>114</v>
      </c>
      <c r="M224" s="178" t="s">
        <v>115</v>
      </c>
      <c r="N224" s="178" t="s">
        <v>116</v>
      </c>
      <c r="O224" s="178"/>
      <c r="P224" s="178"/>
      <c r="Q224" s="178" t="s">
        <v>113</v>
      </c>
      <c r="R224" s="178" t="s">
        <v>114</v>
      </c>
      <c r="S224" s="178" t="s">
        <v>115</v>
      </c>
      <c r="T224" s="178" t="s">
        <v>116</v>
      </c>
      <c r="U224" s="178"/>
      <c r="V224" s="178"/>
      <c r="W224" s="178"/>
      <c r="X224" s="178"/>
      <c r="Y224" s="178" t="s">
        <v>108</v>
      </c>
      <c r="Z224" s="178" t="s">
        <v>109</v>
      </c>
      <c r="AA224" s="178" t="s">
        <v>110</v>
      </c>
      <c r="AB224" s="178"/>
      <c r="AC224" s="178" t="s">
        <v>113</v>
      </c>
      <c r="AD224" s="178" t="s">
        <v>114</v>
      </c>
      <c r="AE224" s="178" t="s">
        <v>115</v>
      </c>
      <c r="AF224" s="178" t="s">
        <v>116</v>
      </c>
      <c r="AG224" s="178"/>
      <c r="AH224" s="178"/>
    </row>
    <row r="225" spans="1:34" x14ac:dyDescent="0.2">
      <c r="A225" s="176">
        <v>3.1</v>
      </c>
      <c r="B225" s="463" t="s">
        <v>105</v>
      </c>
      <c r="C225" s="463"/>
      <c r="D225" s="40"/>
      <c r="E225" s="40"/>
      <c r="F225" s="40"/>
      <c r="G225" s="40"/>
      <c r="H225" s="40"/>
      <c r="I225" s="40"/>
      <c r="J225" s="40"/>
      <c r="K225" s="40"/>
      <c r="L225" s="40"/>
      <c r="M225" s="40"/>
      <c r="N225" s="40"/>
      <c r="O225" s="40"/>
      <c r="P225" s="40"/>
      <c r="Q225" s="40"/>
      <c r="R225" s="40"/>
      <c r="S225" s="40"/>
      <c r="T225" s="40"/>
      <c r="U225" s="40"/>
      <c r="V225" s="40"/>
      <c r="W225" s="178" t="s">
        <v>113</v>
      </c>
      <c r="X225" s="178" t="s">
        <v>114</v>
      </c>
      <c r="Y225" s="178" t="s">
        <v>115</v>
      </c>
      <c r="Z225" s="178" t="s">
        <v>116</v>
      </c>
      <c r="AA225" s="178"/>
      <c r="AB225" s="178"/>
      <c r="AC225" s="40"/>
      <c r="AD225" s="40"/>
      <c r="AE225" s="40"/>
      <c r="AF225" s="40"/>
      <c r="AG225" s="40"/>
      <c r="AH225" s="40"/>
    </row>
    <row r="226" spans="1:34" ht="15.75" customHeight="1" x14ac:dyDescent="0.3">
      <c r="A226" s="469"/>
      <c r="B226" s="465" t="s">
        <v>45</v>
      </c>
      <c r="C226" s="465"/>
      <c r="D226" s="25" t="s">
        <v>101</v>
      </c>
      <c r="E226" s="8">
        <v>297</v>
      </c>
      <c r="F226" s="8">
        <v>297</v>
      </c>
      <c r="G226" s="8">
        <v>297</v>
      </c>
      <c r="H226" s="8">
        <v>297</v>
      </c>
      <c r="I226" s="139"/>
      <c r="J226" s="140">
        <v>297</v>
      </c>
      <c r="K226" s="140">
        <v>297</v>
      </c>
      <c r="L226" s="8">
        <v>297</v>
      </c>
      <c r="M226" s="8">
        <v>297</v>
      </c>
      <c r="N226" s="8">
        <v>297</v>
      </c>
      <c r="O226" s="139"/>
      <c r="P226" s="140">
        <v>297</v>
      </c>
      <c r="Q226" s="140">
        <v>297</v>
      </c>
      <c r="R226" s="8">
        <v>297</v>
      </c>
      <c r="S226" s="8">
        <v>297</v>
      </c>
      <c r="T226" s="8">
        <v>297</v>
      </c>
      <c r="U226" s="139"/>
      <c r="V226" s="140">
        <v>297</v>
      </c>
      <c r="W226" s="140">
        <v>297</v>
      </c>
      <c r="X226" s="8">
        <v>297</v>
      </c>
      <c r="Y226" s="8">
        <v>297</v>
      </c>
      <c r="Z226" s="8">
        <v>297</v>
      </c>
      <c r="AA226" s="139"/>
      <c r="AB226" s="140">
        <v>297</v>
      </c>
      <c r="AC226" s="140">
        <v>297</v>
      </c>
      <c r="AD226" s="8">
        <v>297</v>
      </c>
      <c r="AE226" s="8">
        <v>297</v>
      </c>
      <c r="AF226" s="8">
        <v>297</v>
      </c>
      <c r="AG226" s="139"/>
      <c r="AH226" s="140">
        <v>297</v>
      </c>
    </row>
    <row r="227" spans="1:34" x14ac:dyDescent="0.2">
      <c r="A227" s="469"/>
      <c r="B227" s="465"/>
      <c r="C227" s="465"/>
      <c r="D227" s="25" t="s">
        <v>32</v>
      </c>
      <c r="E227" s="188">
        <v>8.27</v>
      </c>
      <c r="F227" s="188">
        <v>8.27</v>
      </c>
      <c r="G227" s="188">
        <v>8.27</v>
      </c>
      <c r="H227" s="188">
        <v>8.27</v>
      </c>
      <c r="I227" s="188"/>
      <c r="J227" s="188">
        <v>8.27</v>
      </c>
      <c r="K227" s="188">
        <v>8.27</v>
      </c>
      <c r="L227" s="188">
        <v>8.27</v>
      </c>
      <c r="M227" s="188">
        <v>8.27</v>
      </c>
      <c r="N227" s="188">
        <v>8.27</v>
      </c>
      <c r="O227" s="188"/>
      <c r="P227" s="188">
        <v>8.27</v>
      </c>
      <c r="Q227" s="188">
        <v>8.27</v>
      </c>
      <c r="R227" s="188">
        <v>8.27</v>
      </c>
      <c r="S227" s="188">
        <v>8.27</v>
      </c>
      <c r="T227" s="188">
        <v>8.27</v>
      </c>
      <c r="U227" s="196"/>
      <c r="V227" s="188">
        <v>8.27</v>
      </c>
      <c r="W227" s="188">
        <v>8.27</v>
      </c>
      <c r="X227" s="188">
        <v>8.27</v>
      </c>
      <c r="Y227" s="188">
        <v>8.27</v>
      </c>
      <c r="Z227" s="188">
        <v>8.27</v>
      </c>
      <c r="AA227" s="188"/>
      <c r="AB227" s="188">
        <v>8.27</v>
      </c>
      <c r="AC227" s="188">
        <v>8.27</v>
      </c>
      <c r="AD227" s="188">
        <v>8.27</v>
      </c>
      <c r="AE227" s="188">
        <v>8.27</v>
      </c>
      <c r="AF227" s="188">
        <v>8.27</v>
      </c>
      <c r="AG227" s="188"/>
      <c r="AH227" s="188">
        <v>8.27</v>
      </c>
    </row>
    <row r="228" spans="1:34" ht="15.75" customHeight="1" x14ac:dyDescent="0.2">
      <c r="A228" s="469"/>
      <c r="B228" s="465" t="s">
        <v>46</v>
      </c>
      <c r="C228" s="465"/>
      <c r="D228" s="25" t="s">
        <v>32</v>
      </c>
      <c r="E228" s="188">
        <v>8.27</v>
      </c>
      <c r="F228" s="188">
        <v>8.27</v>
      </c>
      <c r="G228" s="188">
        <v>8.27</v>
      </c>
      <c r="H228" s="188">
        <v>8.27</v>
      </c>
      <c r="I228" s="188"/>
      <c r="J228" s="188">
        <v>8.27</v>
      </c>
      <c r="K228" s="188">
        <v>8.27</v>
      </c>
      <c r="L228" s="188">
        <v>8.27</v>
      </c>
      <c r="M228" s="188">
        <v>8.27</v>
      </c>
      <c r="N228" s="188">
        <v>8.27</v>
      </c>
      <c r="O228" s="188"/>
      <c r="P228" s="188">
        <v>8.27</v>
      </c>
      <c r="Q228" s="188">
        <v>8.27</v>
      </c>
      <c r="R228" s="188">
        <v>8.27</v>
      </c>
      <c r="S228" s="188">
        <v>8.27</v>
      </c>
      <c r="T228" s="188">
        <v>8.27</v>
      </c>
      <c r="U228" s="196"/>
      <c r="V228" s="188">
        <v>8.27</v>
      </c>
      <c r="W228" s="188">
        <v>8.27</v>
      </c>
      <c r="X228" s="188">
        <v>8.27</v>
      </c>
      <c r="Y228" s="188">
        <v>8.27</v>
      </c>
      <c r="Z228" s="188">
        <v>8.27</v>
      </c>
      <c r="AA228" s="188"/>
      <c r="AB228" s="188">
        <v>8.27</v>
      </c>
      <c r="AC228" s="188">
        <v>8.27</v>
      </c>
      <c r="AD228" s="188">
        <v>8.27</v>
      </c>
      <c r="AE228" s="188">
        <v>8.27</v>
      </c>
      <c r="AF228" s="188">
        <v>8.27</v>
      </c>
      <c r="AG228" s="188"/>
      <c r="AH228" s="188">
        <v>8.27</v>
      </c>
    </row>
    <row r="229" spans="1:34" x14ac:dyDescent="0.2">
      <c r="A229" s="469"/>
      <c r="B229" s="465"/>
      <c r="C229" s="465"/>
      <c r="D229" s="25" t="s">
        <v>143</v>
      </c>
      <c r="E229" s="186">
        <v>698</v>
      </c>
      <c r="F229" s="186">
        <v>698</v>
      </c>
      <c r="G229" s="186">
        <v>698</v>
      </c>
      <c r="H229" s="186">
        <v>698</v>
      </c>
      <c r="I229" s="192"/>
      <c r="J229" s="192">
        <v>698</v>
      </c>
      <c r="K229" s="192">
        <v>698</v>
      </c>
      <c r="L229" s="192">
        <v>698</v>
      </c>
      <c r="M229" s="192">
        <v>698</v>
      </c>
      <c r="N229" s="192">
        <v>698</v>
      </c>
      <c r="O229" s="192"/>
      <c r="P229" s="192">
        <v>698</v>
      </c>
      <c r="Q229" s="192">
        <v>698</v>
      </c>
      <c r="R229" s="192">
        <v>698</v>
      </c>
      <c r="S229" s="192">
        <v>698</v>
      </c>
      <c r="T229" s="192">
        <v>698</v>
      </c>
      <c r="U229" s="186"/>
      <c r="V229" s="192">
        <v>698</v>
      </c>
      <c r="W229" s="192">
        <v>698</v>
      </c>
      <c r="X229" s="192">
        <v>698</v>
      </c>
      <c r="Y229" s="192">
        <v>698</v>
      </c>
      <c r="Z229" s="192">
        <v>698</v>
      </c>
      <c r="AA229" s="192"/>
      <c r="AB229" s="192">
        <v>698</v>
      </c>
      <c r="AC229" s="192">
        <v>698</v>
      </c>
      <c r="AD229" s="192">
        <v>698</v>
      </c>
      <c r="AE229" s="192">
        <v>698</v>
      </c>
      <c r="AF229" s="192">
        <v>698</v>
      </c>
      <c r="AG229" s="192"/>
      <c r="AH229" s="192">
        <v>698</v>
      </c>
    </row>
    <row r="230" spans="1:34" ht="15.75" customHeight="1" x14ac:dyDescent="0.2">
      <c r="A230" s="469"/>
      <c r="B230" s="465" t="s">
        <v>47</v>
      </c>
      <c r="C230" s="465"/>
      <c r="D230" s="25" t="s">
        <v>32</v>
      </c>
      <c r="E230" s="197">
        <v>10.42</v>
      </c>
      <c r="F230" s="197">
        <v>10.42</v>
      </c>
      <c r="G230" s="197">
        <v>10.42</v>
      </c>
      <c r="H230" s="197">
        <v>10.42</v>
      </c>
      <c r="I230" s="192"/>
      <c r="J230" s="188">
        <v>10.42</v>
      </c>
      <c r="K230" s="188">
        <v>10.42</v>
      </c>
      <c r="L230" s="188">
        <v>10.42</v>
      </c>
      <c r="M230" s="188">
        <v>10.42</v>
      </c>
      <c r="N230" s="188">
        <v>10.42</v>
      </c>
      <c r="O230" s="188"/>
      <c r="P230" s="188">
        <v>10.42</v>
      </c>
      <c r="Q230" s="188">
        <v>10.42</v>
      </c>
      <c r="R230" s="188">
        <v>10.42</v>
      </c>
      <c r="S230" s="188">
        <v>10.42</v>
      </c>
      <c r="T230" s="188">
        <v>10.42</v>
      </c>
      <c r="U230" s="196"/>
      <c r="V230" s="188">
        <v>10.42</v>
      </c>
      <c r="W230" s="188">
        <v>10.42</v>
      </c>
      <c r="X230" s="188">
        <v>10.42</v>
      </c>
      <c r="Y230" s="188">
        <v>10.42</v>
      </c>
      <c r="Z230" s="188">
        <v>10.42</v>
      </c>
      <c r="AA230" s="188"/>
      <c r="AB230" s="188">
        <v>10.42</v>
      </c>
      <c r="AC230" s="188">
        <v>10.42</v>
      </c>
      <c r="AD230" s="188">
        <v>10.42</v>
      </c>
      <c r="AE230" s="188">
        <v>10.42</v>
      </c>
      <c r="AF230" s="188">
        <v>10.42</v>
      </c>
      <c r="AG230" s="188"/>
      <c r="AH230" s="188">
        <v>10.42</v>
      </c>
    </row>
    <row r="231" spans="1:34" x14ac:dyDescent="0.2">
      <c r="A231" s="469"/>
      <c r="B231" s="465"/>
      <c r="C231" s="465"/>
      <c r="D231" s="25" t="s">
        <v>143</v>
      </c>
      <c r="E231" s="181"/>
      <c r="F231" s="181"/>
      <c r="G231" s="181"/>
      <c r="H231" s="181"/>
      <c r="I231" s="192"/>
      <c r="J231" s="192">
        <f>J235*38/100</f>
        <v>698.06</v>
      </c>
      <c r="K231" s="186"/>
      <c r="L231" s="186"/>
      <c r="M231" s="186"/>
      <c r="N231" s="186"/>
      <c r="O231" s="192"/>
      <c r="P231" s="192">
        <v>698</v>
      </c>
      <c r="Q231" s="186"/>
      <c r="R231" s="186"/>
      <c r="S231" s="186"/>
      <c r="T231" s="186"/>
      <c r="U231" s="186"/>
      <c r="V231" s="192">
        <v>698</v>
      </c>
      <c r="W231" s="186"/>
      <c r="X231" s="186"/>
      <c r="Y231" s="186"/>
      <c r="Z231" s="186"/>
      <c r="AA231" s="192"/>
      <c r="AB231" s="192">
        <v>698</v>
      </c>
      <c r="AC231" s="186"/>
      <c r="AD231" s="186"/>
      <c r="AE231" s="186"/>
      <c r="AF231" s="186"/>
      <c r="AG231" s="192"/>
      <c r="AH231" s="192">
        <v>698</v>
      </c>
    </row>
    <row r="232" spans="1:34" x14ac:dyDescent="0.2">
      <c r="A232" s="469"/>
      <c r="B232" s="465" t="s">
        <v>36</v>
      </c>
      <c r="C232" s="465"/>
      <c r="D232" s="25" t="s">
        <v>144</v>
      </c>
      <c r="E232" s="192">
        <v>0</v>
      </c>
      <c r="F232" s="192">
        <v>0</v>
      </c>
      <c r="G232" s="192">
        <v>0</v>
      </c>
      <c r="H232" s="192">
        <v>0</v>
      </c>
      <c r="I232" s="192"/>
      <c r="J232" s="192">
        <v>0</v>
      </c>
      <c r="K232" s="192">
        <v>0</v>
      </c>
      <c r="L232" s="192">
        <v>0</v>
      </c>
      <c r="M232" s="192">
        <v>0</v>
      </c>
      <c r="N232" s="192">
        <v>0</v>
      </c>
      <c r="O232" s="192"/>
      <c r="P232" s="192">
        <v>0</v>
      </c>
      <c r="Q232" s="192">
        <v>0</v>
      </c>
      <c r="R232" s="192">
        <v>0</v>
      </c>
      <c r="S232" s="192">
        <v>0</v>
      </c>
      <c r="T232" s="192">
        <v>0</v>
      </c>
      <c r="U232" s="192"/>
      <c r="V232" s="192">
        <v>0</v>
      </c>
      <c r="W232" s="192">
        <v>0</v>
      </c>
      <c r="X232" s="192">
        <v>0</v>
      </c>
      <c r="Y232" s="192">
        <v>0</v>
      </c>
      <c r="Z232" s="192">
        <v>0</v>
      </c>
      <c r="AA232" s="192"/>
      <c r="AB232" s="192">
        <v>0</v>
      </c>
      <c r="AC232" s="192">
        <v>0</v>
      </c>
      <c r="AD232" s="192">
        <v>0</v>
      </c>
      <c r="AE232" s="192">
        <v>0</v>
      </c>
      <c r="AF232" s="192">
        <v>0</v>
      </c>
      <c r="AG232" s="192"/>
      <c r="AH232" s="192">
        <v>0</v>
      </c>
    </row>
    <row r="233" spans="1:34" x14ac:dyDescent="0.2">
      <c r="A233" s="469"/>
      <c r="B233" s="465"/>
      <c r="C233" s="465"/>
      <c r="D233" s="25" t="s">
        <v>32</v>
      </c>
      <c r="E233" s="192">
        <v>0</v>
      </c>
      <c r="F233" s="192">
        <v>0</v>
      </c>
      <c r="G233" s="192">
        <v>0</v>
      </c>
      <c r="H233" s="192">
        <v>0</v>
      </c>
      <c r="I233" s="192"/>
      <c r="J233" s="192">
        <v>0</v>
      </c>
      <c r="K233" s="192">
        <v>0</v>
      </c>
      <c r="L233" s="192">
        <v>0</v>
      </c>
      <c r="M233" s="192">
        <v>0</v>
      </c>
      <c r="N233" s="192">
        <v>0</v>
      </c>
      <c r="O233" s="192"/>
      <c r="P233" s="192">
        <v>0</v>
      </c>
      <c r="Q233" s="192">
        <v>0</v>
      </c>
      <c r="R233" s="192">
        <v>0</v>
      </c>
      <c r="S233" s="192">
        <v>0</v>
      </c>
      <c r="T233" s="192">
        <v>0</v>
      </c>
      <c r="U233" s="192"/>
      <c r="V233" s="192">
        <v>0</v>
      </c>
      <c r="W233" s="192">
        <v>0</v>
      </c>
      <c r="X233" s="192">
        <v>0</v>
      </c>
      <c r="Y233" s="192">
        <v>0</v>
      </c>
      <c r="Z233" s="192">
        <v>0</v>
      </c>
      <c r="AA233" s="192"/>
      <c r="AB233" s="192">
        <v>0</v>
      </c>
      <c r="AC233" s="192">
        <v>0</v>
      </c>
      <c r="AD233" s="192">
        <v>0</v>
      </c>
      <c r="AE233" s="192">
        <v>0</v>
      </c>
      <c r="AF233" s="192">
        <v>0</v>
      </c>
      <c r="AG233" s="192"/>
      <c r="AH233" s="192">
        <v>0</v>
      </c>
    </row>
    <row r="234" spans="1:34" x14ac:dyDescent="0.2">
      <c r="A234" s="469"/>
      <c r="B234" s="465" t="s">
        <v>48</v>
      </c>
      <c r="C234" s="465"/>
      <c r="D234" s="24" t="s">
        <v>143</v>
      </c>
      <c r="E234" s="198">
        <v>0</v>
      </c>
      <c r="F234" s="198">
        <v>0</v>
      </c>
      <c r="G234" s="198">
        <v>0</v>
      </c>
      <c r="H234" s="198">
        <v>0</v>
      </c>
      <c r="I234" s="192"/>
      <c r="J234" s="198">
        <v>0</v>
      </c>
      <c r="K234" s="198">
        <v>0</v>
      </c>
      <c r="L234" s="198">
        <v>0</v>
      </c>
      <c r="M234" s="198">
        <v>0</v>
      </c>
      <c r="N234" s="198">
        <v>0</v>
      </c>
      <c r="O234" s="192"/>
      <c r="P234" s="198">
        <v>0</v>
      </c>
      <c r="Q234" s="198">
        <v>0</v>
      </c>
      <c r="R234" s="198">
        <v>0</v>
      </c>
      <c r="S234" s="198">
        <v>0</v>
      </c>
      <c r="T234" s="198">
        <v>0</v>
      </c>
      <c r="U234" s="192"/>
      <c r="V234" s="198">
        <v>0</v>
      </c>
      <c r="W234" s="198">
        <v>0</v>
      </c>
      <c r="X234" s="198">
        <v>0</v>
      </c>
      <c r="Y234" s="198">
        <v>0</v>
      </c>
      <c r="Z234" s="198">
        <v>0</v>
      </c>
      <c r="AA234" s="192"/>
      <c r="AB234" s="198">
        <v>0</v>
      </c>
      <c r="AC234" s="198">
        <v>0</v>
      </c>
      <c r="AD234" s="198">
        <v>0</v>
      </c>
      <c r="AE234" s="198">
        <v>0</v>
      </c>
      <c r="AF234" s="198">
        <v>0</v>
      </c>
      <c r="AG234" s="192"/>
      <c r="AH234" s="198">
        <v>0</v>
      </c>
    </row>
    <row r="235" spans="1:34" x14ac:dyDescent="0.2">
      <c r="A235" s="469"/>
      <c r="B235" s="465"/>
      <c r="C235" s="465"/>
      <c r="D235" s="24" t="s">
        <v>143</v>
      </c>
      <c r="E235" s="198">
        <f>1857-20</f>
        <v>1837</v>
      </c>
      <c r="F235" s="198">
        <f>1857-20</f>
        <v>1837</v>
      </c>
      <c r="G235" s="198">
        <f>1857-20</f>
        <v>1837</v>
      </c>
      <c r="H235" s="198">
        <f>1857-20</f>
        <v>1837</v>
      </c>
      <c r="I235" s="192"/>
      <c r="J235" s="198">
        <f>1857-20</f>
        <v>1837</v>
      </c>
      <c r="K235" s="181">
        <v>1817</v>
      </c>
      <c r="L235" s="181">
        <v>1817</v>
      </c>
      <c r="M235" s="181">
        <v>1817</v>
      </c>
      <c r="N235" s="181">
        <v>1817</v>
      </c>
      <c r="O235" s="192"/>
      <c r="P235" s="192">
        <f>J235-20</f>
        <v>1817</v>
      </c>
      <c r="Q235" s="181">
        <v>1797</v>
      </c>
      <c r="R235" s="181">
        <v>1797</v>
      </c>
      <c r="S235" s="181">
        <v>1797</v>
      </c>
      <c r="T235" s="181">
        <v>1797</v>
      </c>
      <c r="U235" s="192"/>
      <c r="V235" s="192">
        <f>P235-20</f>
        <v>1797</v>
      </c>
      <c r="W235" s="181">
        <v>1777</v>
      </c>
      <c r="X235" s="181">
        <v>1777</v>
      </c>
      <c r="Y235" s="181">
        <v>1777</v>
      </c>
      <c r="Z235" s="181">
        <v>1777</v>
      </c>
      <c r="AA235" s="192"/>
      <c r="AB235" s="192">
        <f>V235-20</f>
        <v>1777</v>
      </c>
      <c r="AC235" s="181">
        <v>1757</v>
      </c>
      <c r="AD235" s="181">
        <v>1757</v>
      </c>
      <c r="AE235" s="181">
        <v>1757</v>
      </c>
      <c r="AF235" s="181">
        <v>1757</v>
      </c>
      <c r="AG235" s="192"/>
      <c r="AH235" s="192">
        <f>AB235-20</f>
        <v>1757</v>
      </c>
    </row>
    <row r="236" spans="1:34" x14ac:dyDescent="0.2">
      <c r="A236" s="176">
        <v>3.2</v>
      </c>
      <c r="B236" s="500" t="s">
        <v>37</v>
      </c>
      <c r="C236" s="501"/>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466"/>
      <c r="B237" s="465" t="s">
        <v>102</v>
      </c>
      <c r="C237" s="194"/>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205"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497"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497"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468" t="s">
        <v>103</v>
      </c>
      <c r="C243" s="497"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46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468"/>
      <c r="C245" s="497"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46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46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46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465" t="s">
        <v>49</v>
      </c>
      <c r="C249" s="478"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465"/>
      <c r="C250" s="478"/>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465"/>
      <c r="C251" s="478"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465"/>
      <c r="C252" s="478"/>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465"/>
      <c r="C253" s="478"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465"/>
      <c r="C254" s="478"/>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5" spans="1:34" x14ac:dyDescent="0.2">
      <c r="A255" s="2"/>
      <c r="B255" s="2"/>
      <c r="C255" s="2"/>
    </row>
    <row r="256" spans="1:34" x14ac:dyDescent="0.2">
      <c r="A256" s="174"/>
      <c r="B256" s="174"/>
      <c r="C256" s="174"/>
      <c r="D256" s="9"/>
    </row>
    <row r="257" spans="1:3" x14ac:dyDescent="0.2">
      <c r="A257" s="2"/>
      <c r="B257" s="2"/>
      <c r="C257" s="2"/>
    </row>
    <row r="258" spans="1:3" x14ac:dyDescent="0.2">
      <c r="A258" s="2"/>
      <c r="B258" s="2"/>
      <c r="C258" s="2"/>
    </row>
    <row r="259" spans="1:3" x14ac:dyDescent="0.2">
      <c r="A259" s="2"/>
      <c r="B259" s="220"/>
      <c r="C259" s="2"/>
    </row>
    <row r="260" spans="1:3" x14ac:dyDescent="0.2">
      <c r="A260" s="2"/>
      <c r="B260" s="2"/>
      <c r="C260" s="2"/>
    </row>
    <row r="261" spans="1:3" x14ac:dyDescent="0.2">
      <c r="A261" s="2"/>
      <c r="B261" s="2"/>
      <c r="C261" s="2"/>
    </row>
    <row r="262" spans="1:3" x14ac:dyDescent="0.2">
      <c r="A262" s="2"/>
      <c r="B262" s="2"/>
      <c r="C262" s="2"/>
    </row>
    <row r="263" spans="1:3" x14ac:dyDescent="0.2">
      <c r="A263" s="2"/>
      <c r="B263" s="2"/>
      <c r="C263" s="2"/>
    </row>
    <row r="264" spans="1:3" x14ac:dyDescent="0.2">
      <c r="A264" s="2"/>
      <c r="B264" s="2"/>
      <c r="C264" s="2"/>
    </row>
    <row r="265" spans="1:3" x14ac:dyDescent="0.2">
      <c r="A265" s="2"/>
      <c r="B265" s="2"/>
      <c r="C265" s="2"/>
    </row>
    <row r="266" spans="1:3" x14ac:dyDescent="0.2">
      <c r="A266" s="2"/>
      <c r="B266" s="2"/>
      <c r="C266" s="2"/>
    </row>
    <row r="267" spans="1:3" x14ac:dyDescent="0.2">
      <c r="A267" s="2"/>
      <c r="B267" s="2"/>
      <c r="C267" s="2"/>
    </row>
    <row r="268" spans="1:3" x14ac:dyDescent="0.2">
      <c r="A268" s="2"/>
      <c r="B268" s="2"/>
      <c r="C268" s="2"/>
    </row>
    <row r="269" spans="1:3" x14ac:dyDescent="0.2">
      <c r="A269" s="2"/>
      <c r="B269" s="2"/>
      <c r="C269" s="2"/>
    </row>
    <row r="270" spans="1:3" x14ac:dyDescent="0.2">
      <c r="A270" s="2"/>
      <c r="B270" s="2"/>
      <c r="C270" s="2"/>
    </row>
    <row r="271" spans="1:3" x14ac:dyDescent="0.2">
      <c r="A271" s="2"/>
      <c r="B271" s="2"/>
      <c r="C271" s="2"/>
    </row>
    <row r="272" spans="1:3" x14ac:dyDescent="0.2">
      <c r="A272" s="2"/>
      <c r="B272" s="2"/>
      <c r="C272" s="2"/>
    </row>
    <row r="273" spans="1:3" x14ac:dyDescent="0.2">
      <c r="A273" s="2"/>
      <c r="B273" s="2"/>
      <c r="C273" s="2"/>
    </row>
    <row r="274" spans="1:3" x14ac:dyDescent="0.2">
      <c r="A274" s="2"/>
      <c r="B274" s="2"/>
      <c r="C274" s="2"/>
    </row>
    <row r="275" spans="1:3" x14ac:dyDescent="0.2">
      <c r="A275" s="2"/>
      <c r="B275" s="2"/>
      <c r="C275" s="2"/>
    </row>
    <row r="276" spans="1:3" x14ac:dyDescent="0.2">
      <c r="A276" s="2"/>
      <c r="B276" s="2"/>
      <c r="C276" s="2"/>
    </row>
    <row r="277" spans="1:3" x14ac:dyDescent="0.2">
      <c r="A277" s="2"/>
      <c r="B277" s="2"/>
      <c r="C277" s="2"/>
    </row>
    <row r="278" spans="1:3" x14ac:dyDescent="0.2">
      <c r="A278" s="2"/>
      <c r="B278" s="2"/>
      <c r="C278" s="2"/>
    </row>
    <row r="279" spans="1:3" x14ac:dyDescent="0.2">
      <c r="A279" s="2"/>
      <c r="B279" s="2"/>
      <c r="C279" s="2"/>
    </row>
    <row r="280" spans="1:3" x14ac:dyDescent="0.2">
      <c r="A280" s="2"/>
      <c r="B280" s="2"/>
      <c r="C280" s="2"/>
    </row>
    <row r="281" spans="1:3" x14ac:dyDescent="0.2">
      <c r="A281" s="2"/>
      <c r="B281" s="2"/>
      <c r="C281" s="2"/>
    </row>
    <row r="282" spans="1:3" x14ac:dyDescent="0.2">
      <c r="A282" s="2"/>
      <c r="B282" s="2"/>
      <c r="C282" s="2"/>
    </row>
    <row r="283" spans="1:3" x14ac:dyDescent="0.2">
      <c r="A283" s="2"/>
      <c r="B283" s="2"/>
      <c r="C283" s="2"/>
    </row>
    <row r="284" spans="1:3" x14ac:dyDescent="0.2">
      <c r="A284" s="2"/>
      <c r="B284" s="2"/>
      <c r="C284" s="2"/>
    </row>
    <row r="285" spans="1:3" x14ac:dyDescent="0.2">
      <c r="A285" s="2"/>
      <c r="B285" s="2"/>
      <c r="C285" s="2"/>
    </row>
  </sheetData>
  <mergeCells count="2866">
    <mergeCell ref="A2:L2"/>
    <mergeCell ref="A3:L3"/>
    <mergeCell ref="A8:O8"/>
    <mergeCell ref="D71:D72"/>
    <mergeCell ref="J71:J72"/>
    <mergeCell ref="P71:P72"/>
    <mergeCell ref="V71:V72"/>
    <mergeCell ref="B236:AH236"/>
    <mergeCell ref="B212:AH212"/>
    <mergeCell ref="B195:AH195"/>
    <mergeCell ref="B194:AH194"/>
    <mergeCell ref="B189:AH189"/>
    <mergeCell ref="B124:AH124"/>
    <mergeCell ref="J217:J218"/>
    <mergeCell ref="P217:P218"/>
    <mergeCell ref="V217:V218"/>
    <mergeCell ref="AB217:AB218"/>
    <mergeCell ref="B80:AH80"/>
    <mergeCell ref="D215:D216"/>
    <mergeCell ref="J215:J216"/>
    <mergeCell ref="P215:P216"/>
    <mergeCell ref="V215:V216"/>
    <mergeCell ref="AB215:AB216"/>
    <mergeCell ref="AH215:AH216"/>
    <mergeCell ref="K215:K216"/>
    <mergeCell ref="L215:L216"/>
    <mergeCell ref="M215:M216"/>
    <mergeCell ref="N215:N216"/>
    <mergeCell ref="D213:D214"/>
    <mergeCell ref="AH253:AH254"/>
    <mergeCell ref="J249:J250"/>
    <mergeCell ref="P249:P250"/>
    <mergeCell ref="V249:V250"/>
    <mergeCell ref="AB249:AB250"/>
    <mergeCell ref="AH249:AH250"/>
    <mergeCell ref="J251:J252"/>
    <mergeCell ref="P251:P252"/>
    <mergeCell ref="V251:V252"/>
    <mergeCell ref="AB251:AB252"/>
    <mergeCell ref="AH251:AH252"/>
    <mergeCell ref="R249:R250"/>
    <mergeCell ref="S249:S250"/>
    <mergeCell ref="T249:T250"/>
    <mergeCell ref="W249:W250"/>
    <mergeCell ref="AC251:AC252"/>
    <mergeCell ref="AD251:AD252"/>
    <mergeCell ref="AE251:AE252"/>
    <mergeCell ref="AF251:AF252"/>
    <mergeCell ref="AD253:AD254"/>
    <mergeCell ref="AE253:AE254"/>
    <mergeCell ref="AF253:AF254"/>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AD241:AD242"/>
    <mergeCell ref="AE241:AE242"/>
    <mergeCell ref="AF241:AF242"/>
    <mergeCell ref="AD243:AD244"/>
    <mergeCell ref="AE243:AE244"/>
    <mergeCell ref="AF243:AF244"/>
    <mergeCell ref="AD245:AD246"/>
    <mergeCell ref="AE245:AE246"/>
    <mergeCell ref="AF245:AF246"/>
    <mergeCell ref="AD247:AD248"/>
    <mergeCell ref="AE247:AE248"/>
    <mergeCell ref="AF247:AF248"/>
    <mergeCell ref="AH237:AH238"/>
    <mergeCell ref="J239:J240"/>
    <mergeCell ref="P239:P240"/>
    <mergeCell ref="V239:V240"/>
    <mergeCell ref="AB239:AB240"/>
    <mergeCell ref="AH239:AH240"/>
    <mergeCell ref="AH217:AH218"/>
    <mergeCell ref="G222:H222"/>
    <mergeCell ref="M222:N222"/>
    <mergeCell ref="S222:T222"/>
    <mergeCell ref="Y222:Z222"/>
    <mergeCell ref="AE222:AF222"/>
    <mergeCell ref="K217:K218"/>
    <mergeCell ref="L217:L218"/>
    <mergeCell ref="M217:M218"/>
    <mergeCell ref="N217:N218"/>
    <mergeCell ref="AD237:AD238"/>
    <mergeCell ref="AE237:AE238"/>
    <mergeCell ref="AF237:AF238"/>
    <mergeCell ref="AD239:AD240"/>
    <mergeCell ref="AE239:AE240"/>
    <mergeCell ref="AF239:AF240"/>
    <mergeCell ref="AH213:AH214"/>
    <mergeCell ref="K213:K214"/>
    <mergeCell ref="L213:L214"/>
    <mergeCell ref="M213:M214"/>
    <mergeCell ref="N213:N214"/>
    <mergeCell ref="D210:D211"/>
    <mergeCell ref="J210:J211"/>
    <mergeCell ref="P210:P211"/>
    <mergeCell ref="V210:V211"/>
    <mergeCell ref="AB210:AB211"/>
    <mergeCell ref="AH210:AH211"/>
    <mergeCell ref="J206:J207"/>
    <mergeCell ref="P206:P207"/>
    <mergeCell ref="V206:V207"/>
    <mergeCell ref="AB206:AB207"/>
    <mergeCell ref="AH206:AH207"/>
    <mergeCell ref="J208:J209"/>
    <mergeCell ref="P208:P209"/>
    <mergeCell ref="V208:V209"/>
    <mergeCell ref="AB208:AB209"/>
    <mergeCell ref="AH208:AH209"/>
    <mergeCell ref="E206:E207"/>
    <mergeCell ref="F206:F207"/>
    <mergeCell ref="G206:G207"/>
    <mergeCell ref="H206:H207"/>
    <mergeCell ref="E208:E209"/>
    <mergeCell ref="F208:F209"/>
    <mergeCell ref="G208:G209"/>
    <mergeCell ref="AH202:AH203"/>
    <mergeCell ref="D204:D205"/>
    <mergeCell ref="J204:J205"/>
    <mergeCell ref="P204:P205"/>
    <mergeCell ref="V204:V205"/>
    <mergeCell ref="AB204:AB205"/>
    <mergeCell ref="AH204:AH205"/>
    <mergeCell ref="E202:E203"/>
    <mergeCell ref="F202:F203"/>
    <mergeCell ref="G202:G203"/>
    <mergeCell ref="J200:J201"/>
    <mergeCell ref="P200:P201"/>
    <mergeCell ref="V200:V201"/>
    <mergeCell ref="AB200:AB201"/>
    <mergeCell ref="AH200:AH201"/>
    <mergeCell ref="D202:D203"/>
    <mergeCell ref="J202:J203"/>
    <mergeCell ref="P202:P203"/>
    <mergeCell ref="V202:V203"/>
    <mergeCell ref="AB202:AB203"/>
    <mergeCell ref="E204:E205"/>
    <mergeCell ref="F204:F205"/>
    <mergeCell ref="G204:G205"/>
    <mergeCell ref="H204:H205"/>
    <mergeCell ref="J196:J197"/>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V185:V186"/>
    <mergeCell ref="AB185:AB186"/>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AD185:AD186"/>
    <mergeCell ref="AE185:AE186"/>
    <mergeCell ref="AF185:AF186"/>
    <mergeCell ref="AD187:AD188"/>
    <mergeCell ref="AE187:AE188"/>
    <mergeCell ref="AF187:AF188"/>
    <mergeCell ref="P177:P178"/>
    <mergeCell ref="V177:V178"/>
    <mergeCell ref="AB177:AB17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D179:AD180"/>
    <mergeCell ref="AE179:AE180"/>
    <mergeCell ref="AF179:AF18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7:AD158"/>
    <mergeCell ref="AE157:AE158"/>
    <mergeCell ref="AF157:AF158"/>
    <mergeCell ref="AD159:AD160"/>
    <mergeCell ref="AE159:AE160"/>
    <mergeCell ref="AF159:AF160"/>
    <mergeCell ref="AD161:AD162"/>
    <mergeCell ref="AE161:AE162"/>
    <mergeCell ref="AF161:AF162"/>
    <mergeCell ref="AD163:AD164"/>
    <mergeCell ref="AE163:AE164"/>
    <mergeCell ref="AF163:AF16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AD153:AD154"/>
    <mergeCell ref="AE153:AE154"/>
    <mergeCell ref="AF153:AF154"/>
    <mergeCell ref="AD155:AD156"/>
    <mergeCell ref="AE155:AE156"/>
    <mergeCell ref="AF155:AF156"/>
    <mergeCell ref="K150:K151"/>
    <mergeCell ref="L150:L151"/>
    <mergeCell ref="M150:M151"/>
    <mergeCell ref="N150:N151"/>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K137:K138"/>
    <mergeCell ref="L137:L138"/>
    <mergeCell ref="M137:M138"/>
    <mergeCell ref="N137:N138"/>
    <mergeCell ref="K139:K140"/>
    <mergeCell ref="L139:L140"/>
    <mergeCell ref="M139:M140"/>
    <mergeCell ref="N139:N140"/>
    <mergeCell ref="K141:K142"/>
    <mergeCell ref="L141:L142"/>
    <mergeCell ref="M141:M142"/>
    <mergeCell ref="N141:N142"/>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AD118:AD119"/>
    <mergeCell ref="AE118:AE119"/>
    <mergeCell ref="AF118:AF119"/>
    <mergeCell ref="AD120:AD121"/>
    <mergeCell ref="AE120:AE121"/>
    <mergeCell ref="AF120:AF121"/>
    <mergeCell ref="AD122:AD123"/>
    <mergeCell ref="AE122:AE123"/>
    <mergeCell ref="AF122:AF123"/>
    <mergeCell ref="K127:K128"/>
    <mergeCell ref="L127:L128"/>
    <mergeCell ref="M127:M128"/>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AD110:AD111"/>
    <mergeCell ref="AE110:AE111"/>
    <mergeCell ref="AF110:AF111"/>
    <mergeCell ref="AD112:AD113"/>
    <mergeCell ref="AE112:AE113"/>
    <mergeCell ref="AF112:AF113"/>
    <mergeCell ref="AD114:AD115"/>
    <mergeCell ref="AE114:AE115"/>
    <mergeCell ref="AF114:AF115"/>
    <mergeCell ref="AD116:AD117"/>
    <mergeCell ref="AE116:AE117"/>
    <mergeCell ref="AF116:AF117"/>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AD102:AD103"/>
    <mergeCell ref="AE102:AE103"/>
    <mergeCell ref="AF102:AF103"/>
    <mergeCell ref="AD104:AD105"/>
    <mergeCell ref="AE104:AE105"/>
    <mergeCell ref="AF104:AF105"/>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AD87:AD88"/>
    <mergeCell ref="AE87:AE88"/>
    <mergeCell ref="AF87:AF88"/>
    <mergeCell ref="AD89:AD90"/>
    <mergeCell ref="AE89:AE90"/>
    <mergeCell ref="AF89:AF90"/>
    <mergeCell ref="AD91:AD92"/>
    <mergeCell ref="AE91:AE92"/>
    <mergeCell ref="AF91:AF92"/>
    <mergeCell ref="J78:J79"/>
    <mergeCell ref="P78:P79"/>
    <mergeCell ref="V78:V79"/>
    <mergeCell ref="AB78:AB79"/>
    <mergeCell ref="AH78:AH79"/>
    <mergeCell ref="J83:J84"/>
    <mergeCell ref="P83:P84"/>
    <mergeCell ref="V83:V84"/>
    <mergeCell ref="AB83:AB84"/>
    <mergeCell ref="AH83:AH84"/>
    <mergeCell ref="D74:D75"/>
    <mergeCell ref="J74:J75"/>
    <mergeCell ref="P74:P75"/>
    <mergeCell ref="V74:V75"/>
    <mergeCell ref="AB74:AB75"/>
    <mergeCell ref="AH74:AH75"/>
    <mergeCell ref="Q74:Q75"/>
    <mergeCell ref="R74:R75"/>
    <mergeCell ref="S74:S75"/>
    <mergeCell ref="T74:T75"/>
    <mergeCell ref="E74:E75"/>
    <mergeCell ref="F74:F75"/>
    <mergeCell ref="G74:G75"/>
    <mergeCell ref="H74:H75"/>
    <mergeCell ref="K74:K75"/>
    <mergeCell ref="L74:L75"/>
    <mergeCell ref="M74:M75"/>
    <mergeCell ref="N74:N75"/>
    <mergeCell ref="W74:W75"/>
    <mergeCell ref="X74:X75"/>
    <mergeCell ref="Y74:Y75"/>
    <mergeCell ref="Z74:Z75"/>
    <mergeCell ref="AH71:AH72"/>
    <mergeCell ref="D69:D70"/>
    <mergeCell ref="J69:J70"/>
    <mergeCell ref="P69:P70"/>
    <mergeCell ref="V69:V70"/>
    <mergeCell ref="AB69:AB70"/>
    <mergeCell ref="AH69:AH70"/>
    <mergeCell ref="Q69:Q70"/>
    <mergeCell ref="R69:R70"/>
    <mergeCell ref="D67:D68"/>
    <mergeCell ref="J67:J68"/>
    <mergeCell ref="P67:P68"/>
    <mergeCell ref="V67:V68"/>
    <mergeCell ref="AB67:AB68"/>
    <mergeCell ref="AH67:AH68"/>
    <mergeCell ref="Q67:Q68"/>
    <mergeCell ref="R67:R68"/>
    <mergeCell ref="S67:S68"/>
    <mergeCell ref="T67:T68"/>
    <mergeCell ref="E69:E70"/>
    <mergeCell ref="F69:F70"/>
    <mergeCell ref="G69:G70"/>
    <mergeCell ref="H69:H70"/>
    <mergeCell ref="K69:K70"/>
    <mergeCell ref="L69:L70"/>
    <mergeCell ref="M69:M70"/>
    <mergeCell ref="N69:N70"/>
    <mergeCell ref="S69:S70"/>
    <mergeCell ref="T69:T70"/>
    <mergeCell ref="W69:W70"/>
    <mergeCell ref="X69:X70"/>
    <mergeCell ref="Y69:Y70"/>
    <mergeCell ref="J65:J66"/>
    <mergeCell ref="P65:P66"/>
    <mergeCell ref="V65:V66"/>
    <mergeCell ref="AB65:AB66"/>
    <mergeCell ref="AH65:AH66"/>
    <mergeCell ref="Q65:Q66"/>
    <mergeCell ref="R65:R66"/>
    <mergeCell ref="S65:S66"/>
    <mergeCell ref="T65:T66"/>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E61:E62"/>
    <mergeCell ref="F61:F62"/>
    <mergeCell ref="G61:G62"/>
    <mergeCell ref="H61:H62"/>
    <mergeCell ref="K61:K62"/>
    <mergeCell ref="L61:L62"/>
    <mergeCell ref="M61:M62"/>
    <mergeCell ref="N61:N62"/>
    <mergeCell ref="Q61:Q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Q56:Q57"/>
    <mergeCell ref="R56:R57"/>
    <mergeCell ref="S56:S57"/>
    <mergeCell ref="B58:AH58"/>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Q48:Q49"/>
    <mergeCell ref="R48:R49"/>
    <mergeCell ref="E50:E51"/>
    <mergeCell ref="F50:F51"/>
    <mergeCell ref="G50:G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E40:E41"/>
    <mergeCell ref="F40:F41"/>
    <mergeCell ref="G40:G41"/>
    <mergeCell ref="H40:H41"/>
    <mergeCell ref="K40:K41"/>
    <mergeCell ref="AH35:AH36"/>
    <mergeCell ref="D37:D38"/>
    <mergeCell ref="J37:J38"/>
    <mergeCell ref="O37:O38"/>
    <mergeCell ref="P37:P38"/>
    <mergeCell ref="V37:V38"/>
    <mergeCell ref="AB37:AB38"/>
    <mergeCell ref="AH37:AH38"/>
    <mergeCell ref="D35:D36"/>
    <mergeCell ref="J35:J36"/>
    <mergeCell ref="I31:I32"/>
    <mergeCell ref="J31:J32"/>
    <mergeCell ref="O31:O32"/>
    <mergeCell ref="P31:P32"/>
    <mergeCell ref="AB35:AB36"/>
    <mergeCell ref="V31:V32"/>
    <mergeCell ref="AH31:AH32"/>
    <mergeCell ref="D33:D34"/>
    <mergeCell ref="I33:I34"/>
    <mergeCell ref="J33:J34"/>
    <mergeCell ref="O33:O34"/>
    <mergeCell ref="P33:P34"/>
    <mergeCell ref="V33:V34"/>
    <mergeCell ref="AB33:AB34"/>
    <mergeCell ref="AH33:AH34"/>
    <mergeCell ref="D31:D32"/>
    <mergeCell ref="AG31:AG32"/>
    <mergeCell ref="AB31:AB32"/>
    <mergeCell ref="E33:E34"/>
    <mergeCell ref="F33:F34"/>
    <mergeCell ref="G33:G34"/>
    <mergeCell ref="H33:H34"/>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R27:R28"/>
    <mergeCell ref="S27:S28"/>
    <mergeCell ref="T27:T28"/>
    <mergeCell ref="U27:U28"/>
    <mergeCell ref="E29:E30"/>
    <mergeCell ref="F29:F30"/>
    <mergeCell ref="G29:G30"/>
    <mergeCell ref="H29:H30"/>
    <mergeCell ref="K29:K30"/>
    <mergeCell ref="L29:L30"/>
    <mergeCell ref="M29:M30"/>
    <mergeCell ref="N29:N30"/>
    <mergeCell ref="Q29:Q30"/>
    <mergeCell ref="R29:R30"/>
    <mergeCell ref="S29:S30"/>
    <mergeCell ref="T29:T30"/>
    <mergeCell ref="U29:U30"/>
    <mergeCell ref="O25:O26"/>
    <mergeCell ref="P25:P26"/>
    <mergeCell ref="V25:V26"/>
    <mergeCell ref="AB25:AB26"/>
    <mergeCell ref="AH25:AH26"/>
    <mergeCell ref="M25:M26"/>
    <mergeCell ref="N25:N26"/>
    <mergeCell ref="Q25:Q26"/>
    <mergeCell ref="R25:R26"/>
    <mergeCell ref="AH19:AH20"/>
    <mergeCell ref="AB21:AB22"/>
    <mergeCell ref="AH21:AH22"/>
    <mergeCell ref="AH23:AH24"/>
    <mergeCell ref="P19:P20"/>
    <mergeCell ref="V19:V20"/>
    <mergeCell ref="Q19:Q20"/>
    <mergeCell ref="R19:R20"/>
    <mergeCell ref="S19:S20"/>
    <mergeCell ref="O23:O24"/>
    <mergeCell ref="P23:P24"/>
    <mergeCell ref="V23:V24"/>
    <mergeCell ref="AD19:AD20"/>
    <mergeCell ref="AE19:AE20"/>
    <mergeCell ref="AF19:AF20"/>
    <mergeCell ref="AG19:AG20"/>
    <mergeCell ref="AB19:AB20"/>
    <mergeCell ref="W21:W22"/>
    <mergeCell ref="X21:X22"/>
    <mergeCell ref="Y21:Y22"/>
    <mergeCell ref="Z21:Z22"/>
    <mergeCell ref="AA21:AA22"/>
    <mergeCell ref="V21:V22"/>
    <mergeCell ref="AH15:AH16"/>
    <mergeCell ref="D17:D18"/>
    <mergeCell ref="I17:I18"/>
    <mergeCell ref="J17:J18"/>
    <mergeCell ref="O17:O18"/>
    <mergeCell ref="P17:P18"/>
    <mergeCell ref="V17:V18"/>
    <mergeCell ref="AB17:AB18"/>
    <mergeCell ref="AH17:AH18"/>
    <mergeCell ref="D15:D16"/>
    <mergeCell ref="Q11:U11"/>
    <mergeCell ref="W11:AA11"/>
    <mergeCell ref="AC11:AG11"/>
    <mergeCell ref="O15:O16"/>
    <mergeCell ref="P15:P16"/>
    <mergeCell ref="V15:V16"/>
    <mergeCell ref="AB15:AB16"/>
    <mergeCell ref="W15:W16"/>
    <mergeCell ref="X15:X16"/>
    <mergeCell ref="Y15:Y16"/>
    <mergeCell ref="AC15:AC16"/>
    <mergeCell ref="AD15:AD16"/>
    <mergeCell ref="AE15:AE16"/>
    <mergeCell ref="AF15:AF16"/>
    <mergeCell ref="AG15:AG16"/>
    <mergeCell ref="E17:E18"/>
    <mergeCell ref="F17:F18"/>
    <mergeCell ref="G17:G18"/>
    <mergeCell ref="H17:H18"/>
    <mergeCell ref="K17:K18"/>
    <mergeCell ref="L17:L18"/>
    <mergeCell ref="M17:M18"/>
    <mergeCell ref="Y5:Y6"/>
    <mergeCell ref="E10:I10"/>
    <mergeCell ref="K10:P10"/>
    <mergeCell ref="Q10:V10"/>
    <mergeCell ref="W10:AA10"/>
    <mergeCell ref="AC10:AG10"/>
    <mergeCell ref="N3:N5"/>
    <mergeCell ref="J15:J16"/>
    <mergeCell ref="D23:D24"/>
    <mergeCell ref="O3:O5"/>
    <mergeCell ref="E11:J11"/>
    <mergeCell ref="K11:O11"/>
    <mergeCell ref="D19:D20"/>
    <mergeCell ref="I19:I20"/>
    <mergeCell ref="J19:J20"/>
    <mergeCell ref="O19:O20"/>
    <mergeCell ref="J23:J24"/>
    <mergeCell ref="E15:E16"/>
    <mergeCell ref="F15:F16"/>
    <mergeCell ref="G15:G16"/>
    <mergeCell ref="H15:H16"/>
    <mergeCell ref="K15:K16"/>
    <mergeCell ref="L15:L16"/>
    <mergeCell ref="M15:M16"/>
    <mergeCell ref="N15:N16"/>
    <mergeCell ref="Q15:Q16"/>
    <mergeCell ref="R15:R16"/>
    <mergeCell ref="S15:S16"/>
    <mergeCell ref="T15:T16"/>
    <mergeCell ref="U15:U16"/>
    <mergeCell ref="Z15:Z16"/>
    <mergeCell ref="AA15:AA16"/>
    <mergeCell ref="I15:I16"/>
    <mergeCell ref="D25:D26"/>
    <mergeCell ref="I25:I26"/>
    <mergeCell ref="I23:I24"/>
    <mergeCell ref="I35:I36"/>
    <mergeCell ref="D21:D22"/>
    <mergeCell ref="A59:A72"/>
    <mergeCell ref="B71:C72"/>
    <mergeCell ref="B77:C77"/>
    <mergeCell ref="B102:B107"/>
    <mergeCell ref="C102:C103"/>
    <mergeCell ref="B61:C62"/>
    <mergeCell ref="B95:C95"/>
    <mergeCell ref="B74:C75"/>
    <mergeCell ref="B63:C64"/>
    <mergeCell ref="B78:C79"/>
    <mergeCell ref="C167:C168"/>
    <mergeCell ref="C133:C134"/>
    <mergeCell ref="C129:C130"/>
    <mergeCell ref="B112:B117"/>
    <mergeCell ref="C127:C128"/>
    <mergeCell ref="B81:C81"/>
    <mergeCell ref="C87:C88"/>
    <mergeCell ref="C104:C105"/>
    <mergeCell ref="C122:C123"/>
    <mergeCell ref="B110:C111"/>
    <mergeCell ref="B108:C108"/>
    <mergeCell ref="B65:C66"/>
    <mergeCell ref="D65:D66"/>
    <mergeCell ref="B73:AH73"/>
    <mergeCell ref="B39:AH39"/>
    <mergeCell ref="A213:A218"/>
    <mergeCell ref="A74:A79"/>
    <mergeCell ref="B125:B130"/>
    <mergeCell ref="C106:C107"/>
    <mergeCell ref="C98:C99"/>
    <mergeCell ref="A196:A211"/>
    <mergeCell ref="A190:A193"/>
    <mergeCell ref="C125:C126"/>
    <mergeCell ref="C120:C121"/>
    <mergeCell ref="C163:C164"/>
    <mergeCell ref="B234:C235"/>
    <mergeCell ref="B226:C227"/>
    <mergeCell ref="B228:C229"/>
    <mergeCell ref="B200:C201"/>
    <mergeCell ref="B213:C214"/>
    <mergeCell ref="B210:C211"/>
    <mergeCell ref="B208:C209"/>
    <mergeCell ref="B217:C218"/>
    <mergeCell ref="B196:C197"/>
    <mergeCell ref="B165:B170"/>
    <mergeCell ref="C169:C170"/>
    <mergeCell ref="B190:C191"/>
    <mergeCell ref="B192:C193"/>
    <mergeCell ref="C183:C184"/>
    <mergeCell ref="B183:B188"/>
    <mergeCell ref="C181:C182"/>
    <mergeCell ref="C185:C186"/>
    <mergeCell ref="C135:C136"/>
    <mergeCell ref="C139:C140"/>
    <mergeCell ref="B159:B164"/>
    <mergeCell ref="C146:C147"/>
    <mergeCell ref="C148:C149"/>
    <mergeCell ref="C253:C254"/>
    <mergeCell ref="A222:A223"/>
    <mergeCell ref="C165:C166"/>
    <mergeCell ref="C153:C154"/>
    <mergeCell ref="A183:A188"/>
    <mergeCell ref="A237:A254"/>
    <mergeCell ref="B237:B242"/>
    <mergeCell ref="C241:C242"/>
    <mergeCell ref="C222:C223"/>
    <mergeCell ref="A226:A235"/>
    <mergeCell ref="C112:C113"/>
    <mergeCell ref="C114:C115"/>
    <mergeCell ref="C85:C86"/>
    <mergeCell ref="C116:C117"/>
    <mergeCell ref="C100:C101"/>
    <mergeCell ref="A82:A107"/>
    <mergeCell ref="B89:B94"/>
    <mergeCell ref="C91:C92"/>
    <mergeCell ref="C93:C94"/>
    <mergeCell ref="A153:A170"/>
    <mergeCell ref="A109:A123"/>
    <mergeCell ref="A171:A176"/>
    <mergeCell ref="A177:A182"/>
    <mergeCell ref="A125:A151"/>
    <mergeCell ref="C249:C250"/>
    <mergeCell ref="B222:B223"/>
    <mergeCell ref="B230:C231"/>
    <mergeCell ref="B232:C233"/>
    <mergeCell ref="B225:C225"/>
    <mergeCell ref="B243:B248"/>
    <mergeCell ref="C239:C240"/>
    <mergeCell ref="C245:C246"/>
    <mergeCell ref="A4:C4"/>
    <mergeCell ref="A7:C7"/>
    <mergeCell ref="A15:A38"/>
    <mergeCell ref="C29:C30"/>
    <mergeCell ref="C27:C28"/>
    <mergeCell ref="C35:C36"/>
    <mergeCell ref="B33:B38"/>
    <mergeCell ref="C23:C24"/>
    <mergeCell ref="B10:B12"/>
    <mergeCell ref="C10:C12"/>
    <mergeCell ref="C15:C16"/>
    <mergeCell ref="C17:C18"/>
    <mergeCell ref="C21:C22"/>
    <mergeCell ref="C19:C20"/>
    <mergeCell ref="C50:C51"/>
    <mergeCell ref="C37:C38"/>
    <mergeCell ref="C25:C26"/>
    <mergeCell ref="C31:C32"/>
    <mergeCell ref="C33:C34"/>
    <mergeCell ref="B40:B45"/>
    <mergeCell ref="C44:C45"/>
    <mergeCell ref="A40:A57"/>
    <mergeCell ref="C42:C43"/>
    <mergeCell ref="B215:C216"/>
    <mergeCell ref="B202:B207"/>
    <mergeCell ref="C202:C203"/>
    <mergeCell ref="C204:C205"/>
    <mergeCell ref="C206:C207"/>
    <mergeCell ref="B143:B145"/>
    <mergeCell ref="C157:C158"/>
    <mergeCell ref="B146:B151"/>
    <mergeCell ref="C161:C162"/>
    <mergeCell ref="B118:B123"/>
    <mergeCell ref="C131:C132"/>
    <mergeCell ref="B131:B136"/>
    <mergeCell ref="C118:C119"/>
    <mergeCell ref="B137:B142"/>
    <mergeCell ref="C137:C138"/>
    <mergeCell ref="B177:B182"/>
    <mergeCell ref="C179:C180"/>
    <mergeCell ref="C177:C178"/>
    <mergeCell ref="B171:B176"/>
    <mergeCell ref="B153:B158"/>
    <mergeCell ref="C155:C156"/>
    <mergeCell ref="B152:C152"/>
    <mergeCell ref="C150:C151"/>
    <mergeCell ref="C141:C142"/>
    <mergeCell ref="C159:C160"/>
    <mergeCell ref="C171:C172"/>
    <mergeCell ref="C187:C188"/>
    <mergeCell ref="C175:C176"/>
    <mergeCell ref="C173:C174"/>
    <mergeCell ref="D135:D136"/>
    <mergeCell ref="D137:D138"/>
    <mergeCell ref="D139:D140"/>
    <mergeCell ref="D141:D142"/>
    <mergeCell ref="D146:D147"/>
    <mergeCell ref="C52:C53"/>
    <mergeCell ref="B15:B20"/>
    <mergeCell ref="C56:C57"/>
    <mergeCell ref="C40:C41"/>
    <mergeCell ref="B52:B57"/>
    <mergeCell ref="B46:B51"/>
    <mergeCell ref="C48:C49"/>
    <mergeCell ref="C54:C55"/>
    <mergeCell ref="B21:B26"/>
    <mergeCell ref="B27:B32"/>
    <mergeCell ref="C46:C47"/>
    <mergeCell ref="B198:C199"/>
    <mergeCell ref="B59:C60"/>
    <mergeCell ref="B96:B101"/>
    <mergeCell ref="B83:B88"/>
    <mergeCell ref="C83:C84"/>
    <mergeCell ref="B69:C70"/>
    <mergeCell ref="B67:C68"/>
    <mergeCell ref="C89:C90"/>
    <mergeCell ref="B76:C76"/>
    <mergeCell ref="C96:C97"/>
    <mergeCell ref="D169:D170"/>
    <mergeCell ref="D171:D172"/>
    <mergeCell ref="D173:D174"/>
    <mergeCell ref="D175:D176"/>
    <mergeCell ref="D177:D178"/>
    <mergeCell ref="B249:B254"/>
    <mergeCell ref="C251:C252"/>
    <mergeCell ref="C243:C244"/>
    <mergeCell ref="C247:C248"/>
    <mergeCell ref="D78:D79"/>
    <mergeCell ref="D83:D8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D251:D252"/>
    <mergeCell ref="D253:D254"/>
    <mergeCell ref="D192:D193"/>
    <mergeCell ref="D237:D238"/>
    <mergeCell ref="D239:D240"/>
    <mergeCell ref="D241:D242"/>
    <mergeCell ref="D243:D244"/>
    <mergeCell ref="D245:D246"/>
    <mergeCell ref="D196:D197"/>
    <mergeCell ref="D206:D207"/>
    <mergeCell ref="A5:B5"/>
    <mergeCell ref="A6:B6"/>
    <mergeCell ref="D198:D199"/>
    <mergeCell ref="D208:D209"/>
    <mergeCell ref="D247:D248"/>
    <mergeCell ref="D249:D250"/>
    <mergeCell ref="D179:D180"/>
    <mergeCell ref="D181:D182"/>
    <mergeCell ref="D183:D184"/>
    <mergeCell ref="D185:D186"/>
    <mergeCell ref="D148:D149"/>
    <mergeCell ref="D150:D151"/>
    <mergeCell ref="D153:D154"/>
    <mergeCell ref="D155:D156"/>
    <mergeCell ref="D157:D158"/>
    <mergeCell ref="D159:D160"/>
    <mergeCell ref="D161:D162"/>
    <mergeCell ref="D163:D164"/>
    <mergeCell ref="D165:D166"/>
    <mergeCell ref="D187:D188"/>
    <mergeCell ref="D190:D191"/>
    <mergeCell ref="D167:D168"/>
    <mergeCell ref="L40:L41"/>
    <mergeCell ref="M40:M41"/>
    <mergeCell ref="N40:N41"/>
    <mergeCell ref="Q40:Q41"/>
    <mergeCell ref="R40:R41"/>
    <mergeCell ref="S40:S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S42:S43"/>
    <mergeCell ref="T42:T43"/>
    <mergeCell ref="W42:W43"/>
    <mergeCell ref="X42:X43"/>
    <mergeCell ref="Y42:Y43"/>
    <mergeCell ref="Z42:Z43"/>
    <mergeCell ref="AC42:AC43"/>
    <mergeCell ref="AD42:AD43"/>
    <mergeCell ref="AB42:AB43"/>
    <mergeCell ref="AE42:AE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E46:E47"/>
    <mergeCell ref="F46:F47"/>
    <mergeCell ref="G46:G47"/>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R50:R51"/>
    <mergeCell ref="S50:S51"/>
    <mergeCell ref="T50:T51"/>
    <mergeCell ref="W50:W51"/>
    <mergeCell ref="X50:X51"/>
    <mergeCell ref="Y50:Y51"/>
    <mergeCell ref="Z50:Z51"/>
    <mergeCell ref="AC50:AC51"/>
    <mergeCell ref="AD50:AD51"/>
    <mergeCell ref="AB50:AB51"/>
    <mergeCell ref="AE50:AE51"/>
    <mergeCell ref="AD46:AD47"/>
    <mergeCell ref="AE46:AE47"/>
    <mergeCell ref="AF46:AF47"/>
    <mergeCell ref="E48:E49"/>
    <mergeCell ref="F48:F49"/>
    <mergeCell ref="G48:G49"/>
    <mergeCell ref="H48:H49"/>
    <mergeCell ref="K48:K49"/>
    <mergeCell ref="L48:L49"/>
    <mergeCell ref="M48:M49"/>
    <mergeCell ref="N48:N49"/>
    <mergeCell ref="S48:S49"/>
    <mergeCell ref="T48:T49"/>
    <mergeCell ref="W48:W49"/>
    <mergeCell ref="X48:X49"/>
    <mergeCell ref="Y48:Y49"/>
    <mergeCell ref="Z48:Z49"/>
    <mergeCell ref="AC48:AC49"/>
    <mergeCell ref="AD48:AD49"/>
    <mergeCell ref="AE48:AE49"/>
    <mergeCell ref="AF48:AF49"/>
    <mergeCell ref="W54:W55"/>
    <mergeCell ref="X54:X55"/>
    <mergeCell ref="Y54:Y55"/>
    <mergeCell ref="Z54:Z55"/>
    <mergeCell ref="AC54:AC55"/>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H50:H51"/>
    <mergeCell ref="K50:K51"/>
    <mergeCell ref="L50:L51"/>
    <mergeCell ref="M50:M51"/>
    <mergeCell ref="N50:N51"/>
    <mergeCell ref="Q50:Q51"/>
    <mergeCell ref="AD54:AD55"/>
    <mergeCell ref="AE54:AE55"/>
    <mergeCell ref="AF54:AF55"/>
    <mergeCell ref="E56:E57"/>
    <mergeCell ref="F56:F57"/>
    <mergeCell ref="G56:G57"/>
    <mergeCell ref="H56:H57"/>
    <mergeCell ref="K56:K57"/>
    <mergeCell ref="L56:L57"/>
    <mergeCell ref="M56:M57"/>
    <mergeCell ref="N56:N57"/>
    <mergeCell ref="T56:T57"/>
    <mergeCell ref="W56:W57"/>
    <mergeCell ref="X56:X57"/>
    <mergeCell ref="Y56:Y57"/>
    <mergeCell ref="Z56:Z57"/>
    <mergeCell ref="AC56:AC57"/>
    <mergeCell ref="AD56:AD57"/>
    <mergeCell ref="AE56:AE57"/>
    <mergeCell ref="AF56:AF57"/>
    <mergeCell ref="E54:E55"/>
    <mergeCell ref="F54:F55"/>
    <mergeCell ref="G54:G55"/>
    <mergeCell ref="H54:H55"/>
    <mergeCell ref="K54:K55"/>
    <mergeCell ref="L54:L55"/>
    <mergeCell ref="M54:M55"/>
    <mergeCell ref="N54:N55"/>
    <mergeCell ref="Q54:Q55"/>
    <mergeCell ref="R54:R55"/>
    <mergeCell ref="S54:S55"/>
    <mergeCell ref="T54:T55"/>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E19:E20"/>
    <mergeCell ref="F19:F20"/>
    <mergeCell ref="G19:G20"/>
    <mergeCell ref="H19:H20"/>
    <mergeCell ref="K19:K20"/>
    <mergeCell ref="L19:L20"/>
    <mergeCell ref="M19:M20"/>
    <mergeCell ref="N19:N20"/>
    <mergeCell ref="T19:T20"/>
    <mergeCell ref="U19:U20"/>
    <mergeCell ref="W19:W20"/>
    <mergeCell ref="X19:X20"/>
    <mergeCell ref="Y19:Y20"/>
    <mergeCell ref="Z19:Z20"/>
    <mergeCell ref="AA19:AA20"/>
    <mergeCell ref="AC19:AC20"/>
    <mergeCell ref="AD23:AD24"/>
    <mergeCell ref="AE23:AE24"/>
    <mergeCell ref="AF23:AF24"/>
    <mergeCell ref="AG23:AG24"/>
    <mergeCell ref="AB23:AB24"/>
    <mergeCell ref="E21:E22"/>
    <mergeCell ref="F21:F22"/>
    <mergeCell ref="G21:G22"/>
    <mergeCell ref="H21:H22"/>
    <mergeCell ref="K21:K22"/>
    <mergeCell ref="L21:L22"/>
    <mergeCell ref="I21:I22"/>
    <mergeCell ref="J21:J22"/>
    <mergeCell ref="M21:M22"/>
    <mergeCell ref="N21:N22"/>
    <mergeCell ref="Q21:Q22"/>
    <mergeCell ref="R21:R22"/>
    <mergeCell ref="S21:S22"/>
    <mergeCell ref="T21:T22"/>
    <mergeCell ref="O21:O22"/>
    <mergeCell ref="P21:P22"/>
    <mergeCell ref="U21:U22"/>
    <mergeCell ref="U25:U26"/>
    <mergeCell ref="W25:W26"/>
    <mergeCell ref="X25:X26"/>
    <mergeCell ref="Y25:Y26"/>
    <mergeCell ref="Z25:Z26"/>
    <mergeCell ref="AA25:AA26"/>
    <mergeCell ref="AC25:AC26"/>
    <mergeCell ref="AD25:AD26"/>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E25:AE26"/>
    <mergeCell ref="AF25:AF26"/>
    <mergeCell ref="AG25:AG26"/>
    <mergeCell ref="E27:E28"/>
    <mergeCell ref="F27:F28"/>
    <mergeCell ref="G27:G28"/>
    <mergeCell ref="H27:H28"/>
    <mergeCell ref="K27:K28"/>
    <mergeCell ref="L27:L28"/>
    <mergeCell ref="M27:M28"/>
    <mergeCell ref="N27:N28"/>
    <mergeCell ref="Q27:Q28"/>
    <mergeCell ref="W27:W28"/>
    <mergeCell ref="X27:X28"/>
    <mergeCell ref="Y27:Y28"/>
    <mergeCell ref="Z27:Z28"/>
    <mergeCell ref="AA27:AA28"/>
    <mergeCell ref="AC27:AC28"/>
    <mergeCell ref="AB27:AB28"/>
    <mergeCell ref="AD27:AD28"/>
    <mergeCell ref="AE27:AE28"/>
    <mergeCell ref="AF27:AF28"/>
    <mergeCell ref="AG27:AG28"/>
    <mergeCell ref="E25:E26"/>
    <mergeCell ref="F25:F26"/>
    <mergeCell ref="G25:G26"/>
    <mergeCell ref="H25:H26"/>
    <mergeCell ref="K25:K26"/>
    <mergeCell ref="L25:L26"/>
    <mergeCell ref="J25:J26"/>
    <mergeCell ref="S25:S26"/>
    <mergeCell ref="T25:T26"/>
    <mergeCell ref="W29:W30"/>
    <mergeCell ref="X29:X30"/>
    <mergeCell ref="Y29:Y30"/>
    <mergeCell ref="Z29:Z30"/>
    <mergeCell ref="AA29:AA30"/>
    <mergeCell ref="AC29:AC30"/>
    <mergeCell ref="AD29:AD30"/>
    <mergeCell ref="AE29:AE30"/>
    <mergeCell ref="AF29:AF30"/>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A31:AA32"/>
    <mergeCell ref="AC31:AC32"/>
    <mergeCell ref="AD31:AD32"/>
    <mergeCell ref="AE31:AE32"/>
    <mergeCell ref="AF31:AF32"/>
    <mergeCell ref="Z35:Z36"/>
    <mergeCell ref="V35:V36"/>
    <mergeCell ref="AA35:AA36"/>
    <mergeCell ref="AC35:AC36"/>
    <mergeCell ref="AD35:AD36"/>
    <mergeCell ref="AE35:AE36"/>
    <mergeCell ref="AF35:AF36"/>
    <mergeCell ref="AG35:AG36"/>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K37:K38"/>
    <mergeCell ref="L37:L38"/>
    <mergeCell ref="M37:M38"/>
    <mergeCell ref="N37:N38"/>
    <mergeCell ref="Q37:Q38"/>
    <mergeCell ref="R37:R38"/>
    <mergeCell ref="S37:S38"/>
    <mergeCell ref="T37:T38"/>
    <mergeCell ref="U37:U38"/>
    <mergeCell ref="W37:W38"/>
    <mergeCell ref="X37:X38"/>
    <mergeCell ref="Y37:Y38"/>
    <mergeCell ref="AF33:AF34"/>
    <mergeCell ref="AG33:AG34"/>
    <mergeCell ref="E35:E36"/>
    <mergeCell ref="F35:F36"/>
    <mergeCell ref="G35:G36"/>
    <mergeCell ref="H35:H36"/>
    <mergeCell ref="K35:K36"/>
    <mergeCell ref="L35:L36"/>
    <mergeCell ref="M35:M36"/>
    <mergeCell ref="N35:N36"/>
    <mergeCell ref="Q35:Q36"/>
    <mergeCell ref="R35:R36"/>
    <mergeCell ref="S35:S36"/>
    <mergeCell ref="O35:O36"/>
    <mergeCell ref="P35:P36"/>
    <mergeCell ref="T35:T36"/>
    <mergeCell ref="U35:U36"/>
    <mergeCell ref="W35:W36"/>
    <mergeCell ref="X35:X36"/>
    <mergeCell ref="Y35:Y36"/>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E37:E38"/>
    <mergeCell ref="F37:F38"/>
    <mergeCell ref="G37:G38"/>
    <mergeCell ref="H37:H38"/>
    <mergeCell ref="I37:I38"/>
    <mergeCell ref="R61:R62"/>
    <mergeCell ref="S61:S62"/>
    <mergeCell ref="T61:T62"/>
    <mergeCell ref="W61:W62"/>
    <mergeCell ref="X61:X62"/>
    <mergeCell ref="Y61:Y62"/>
    <mergeCell ref="Z61:Z62"/>
    <mergeCell ref="AC61:AC62"/>
    <mergeCell ref="AD61:AD62"/>
    <mergeCell ref="AE61:AE62"/>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W65:W66"/>
    <mergeCell ref="X65:X66"/>
    <mergeCell ref="Y65:Y66"/>
    <mergeCell ref="Z65:Z66"/>
    <mergeCell ref="AC65:AC66"/>
    <mergeCell ref="AD65:AD66"/>
    <mergeCell ref="AE65:AE66"/>
    <mergeCell ref="AF65:AF66"/>
    <mergeCell ref="E67:E68"/>
    <mergeCell ref="F67:F68"/>
    <mergeCell ref="G67:G68"/>
    <mergeCell ref="H67:H68"/>
    <mergeCell ref="K67:K68"/>
    <mergeCell ref="L67:L68"/>
    <mergeCell ref="M67:M68"/>
    <mergeCell ref="N67:N68"/>
    <mergeCell ref="W67:W68"/>
    <mergeCell ref="X67:X68"/>
    <mergeCell ref="Y67:Y68"/>
    <mergeCell ref="Z67:Z68"/>
    <mergeCell ref="AC67:AC68"/>
    <mergeCell ref="AD67:AD68"/>
    <mergeCell ref="AE67:AE68"/>
    <mergeCell ref="AF67:AF68"/>
    <mergeCell ref="Z69:Z70"/>
    <mergeCell ref="AC69:AC70"/>
    <mergeCell ref="AD69:AD70"/>
    <mergeCell ref="AE69:AE70"/>
    <mergeCell ref="AF69:AF70"/>
    <mergeCell ref="E71:E72"/>
    <mergeCell ref="F71:F72"/>
    <mergeCell ref="G71:G72"/>
    <mergeCell ref="H71:H72"/>
    <mergeCell ref="K71:K72"/>
    <mergeCell ref="L71:L72"/>
    <mergeCell ref="M71:M72"/>
    <mergeCell ref="N71:N72"/>
    <mergeCell ref="Q71:Q72"/>
    <mergeCell ref="R71:R72"/>
    <mergeCell ref="S71:S72"/>
    <mergeCell ref="T71:T72"/>
    <mergeCell ref="W71:W72"/>
    <mergeCell ref="X71:X72"/>
    <mergeCell ref="Y71:Y72"/>
    <mergeCell ref="Z71:Z72"/>
    <mergeCell ref="AC71:AC72"/>
    <mergeCell ref="AD71:AD72"/>
    <mergeCell ref="AB71:AB72"/>
    <mergeCell ref="AE71:AE72"/>
    <mergeCell ref="AF71:AF72"/>
    <mergeCell ref="R83:R84"/>
    <mergeCell ref="S83:S84"/>
    <mergeCell ref="T83:T84"/>
    <mergeCell ref="W83:W84"/>
    <mergeCell ref="X83:X84"/>
    <mergeCell ref="Y83:Y84"/>
    <mergeCell ref="Z83:Z84"/>
    <mergeCell ref="AC83:AC84"/>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AD83:AD84"/>
    <mergeCell ref="AE83:AE84"/>
    <mergeCell ref="AF83:AF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AD85:AD86"/>
    <mergeCell ref="AE85:AE86"/>
    <mergeCell ref="AF85:AF86"/>
    <mergeCell ref="E83:E84"/>
    <mergeCell ref="F83:F84"/>
    <mergeCell ref="G83:G84"/>
    <mergeCell ref="H83:H84"/>
    <mergeCell ref="K83:K84"/>
    <mergeCell ref="L83:L84"/>
    <mergeCell ref="M83:M84"/>
    <mergeCell ref="N83:N84"/>
    <mergeCell ref="Q83:Q84"/>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89:E90"/>
    <mergeCell ref="F89:F90"/>
    <mergeCell ref="G89:G90"/>
    <mergeCell ref="H89:H90"/>
    <mergeCell ref="K89:K90"/>
    <mergeCell ref="L89:L90"/>
    <mergeCell ref="M89:M90"/>
    <mergeCell ref="N89:N90"/>
    <mergeCell ref="Q89:Q90"/>
    <mergeCell ref="R89:R90"/>
    <mergeCell ref="S89:S90"/>
    <mergeCell ref="T89:T90"/>
    <mergeCell ref="W89:W90"/>
    <mergeCell ref="X89:X90"/>
    <mergeCell ref="Y89:Y90"/>
    <mergeCell ref="Z89:Z90"/>
    <mergeCell ref="AC89:AC90"/>
    <mergeCell ref="J89:J90"/>
    <mergeCell ref="P89:P90"/>
    <mergeCell ref="V89:V90"/>
    <mergeCell ref="AB89:AB90"/>
    <mergeCell ref="AF96:AF97"/>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R98:R99"/>
    <mergeCell ref="S98:S99"/>
    <mergeCell ref="T98:T99"/>
    <mergeCell ref="W98:W99"/>
    <mergeCell ref="X98:X99"/>
    <mergeCell ref="Y98:Y99"/>
    <mergeCell ref="Z98:Z99"/>
    <mergeCell ref="AC98:AC99"/>
    <mergeCell ref="W93:W94"/>
    <mergeCell ref="X93:X94"/>
    <mergeCell ref="Y93:Y94"/>
    <mergeCell ref="Z93:Z94"/>
    <mergeCell ref="AC93:AC94"/>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AD100:AD101"/>
    <mergeCell ref="AE100:AE101"/>
    <mergeCell ref="AF100:AF101"/>
    <mergeCell ref="E98:E99"/>
    <mergeCell ref="F98:F99"/>
    <mergeCell ref="G98:G99"/>
    <mergeCell ref="H98:H99"/>
    <mergeCell ref="K98:K99"/>
    <mergeCell ref="L98:L99"/>
    <mergeCell ref="M98:M99"/>
    <mergeCell ref="N98:N99"/>
    <mergeCell ref="Q98:Q99"/>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J104:J105"/>
    <mergeCell ref="P104:P105"/>
    <mergeCell ref="V104:V105"/>
    <mergeCell ref="AB104:AB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J114:J115"/>
    <mergeCell ref="P114:P115"/>
    <mergeCell ref="V114:V115"/>
    <mergeCell ref="AB114:AB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E122:E123"/>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J122:J123"/>
    <mergeCell ref="P122:P123"/>
    <mergeCell ref="V122:V123"/>
    <mergeCell ref="AB122:AB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J153:J154"/>
    <mergeCell ref="P153:P154"/>
    <mergeCell ref="V153:V154"/>
    <mergeCell ref="AB153:AB154"/>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J185:J186"/>
    <mergeCell ref="P185:P186"/>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J237:J238"/>
    <mergeCell ref="P237:P238"/>
    <mergeCell ref="V237:V238"/>
    <mergeCell ref="AB237:AB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J245:J246"/>
    <mergeCell ref="P245:P246"/>
    <mergeCell ref="V245:V246"/>
    <mergeCell ref="AB245:AB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E249:E250"/>
    <mergeCell ref="F249:F250"/>
    <mergeCell ref="G249:G250"/>
    <mergeCell ref="H249:H250"/>
    <mergeCell ref="K249:K250"/>
    <mergeCell ref="L249:L250"/>
    <mergeCell ref="M249:M250"/>
    <mergeCell ref="N249:N250"/>
    <mergeCell ref="Q249:Q250"/>
    <mergeCell ref="X249:X250"/>
    <mergeCell ref="Y249:Y250"/>
    <mergeCell ref="Z249:Z250"/>
    <mergeCell ref="AC249:AC250"/>
    <mergeCell ref="AD249:AD250"/>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J253:J254"/>
    <mergeCell ref="P253:P254"/>
    <mergeCell ref="V253:V254"/>
    <mergeCell ref="AB253:AB254"/>
    <mergeCell ref="N127:N128"/>
    <mergeCell ref="K129:K130"/>
    <mergeCell ref="L129:L130"/>
    <mergeCell ref="M129:M130"/>
    <mergeCell ref="N129:N130"/>
    <mergeCell ref="K131:K132"/>
    <mergeCell ref="L131:L132"/>
    <mergeCell ref="M131:M132"/>
    <mergeCell ref="N131:N132"/>
    <mergeCell ref="K133:K134"/>
    <mergeCell ref="L133:L134"/>
    <mergeCell ref="M133:M134"/>
    <mergeCell ref="N133:N134"/>
    <mergeCell ref="K135:K136"/>
    <mergeCell ref="L135:L136"/>
    <mergeCell ref="M135:M136"/>
    <mergeCell ref="N135:N136"/>
    <mergeCell ref="Q127:Q128"/>
    <mergeCell ref="R127:R128"/>
    <mergeCell ref="S127:S128"/>
    <mergeCell ref="T127:T128"/>
    <mergeCell ref="Q129:Q130"/>
    <mergeCell ref="R129:R130"/>
    <mergeCell ref="S129:S130"/>
    <mergeCell ref="T129:T130"/>
    <mergeCell ref="Q131:Q132"/>
    <mergeCell ref="R131:R132"/>
    <mergeCell ref="S131:S132"/>
    <mergeCell ref="T131:T132"/>
    <mergeCell ref="Q133:Q134"/>
    <mergeCell ref="R133:R134"/>
    <mergeCell ref="S133:S134"/>
    <mergeCell ref="T133:T134"/>
    <mergeCell ref="Q135:Q136"/>
    <mergeCell ref="R135:R136"/>
    <mergeCell ref="S135:S136"/>
    <mergeCell ref="T135:T136"/>
    <mergeCell ref="Q137:Q138"/>
    <mergeCell ref="R137:R138"/>
    <mergeCell ref="S137:S138"/>
    <mergeCell ref="T137:T138"/>
    <mergeCell ref="Q139:Q140"/>
    <mergeCell ref="R139:R140"/>
    <mergeCell ref="S139:S140"/>
    <mergeCell ref="T139:T140"/>
    <mergeCell ref="Q141:Q142"/>
    <mergeCell ref="R141:R142"/>
    <mergeCell ref="S141:S142"/>
    <mergeCell ref="T141:T142"/>
    <mergeCell ref="W127:W128"/>
    <mergeCell ref="X127:X128"/>
    <mergeCell ref="Y127:Y128"/>
    <mergeCell ref="Z127:Z128"/>
    <mergeCell ref="W129:W130"/>
    <mergeCell ref="X129:X130"/>
    <mergeCell ref="Y129:Y130"/>
    <mergeCell ref="Z129:Z130"/>
    <mergeCell ref="W131:W132"/>
    <mergeCell ref="X131:X132"/>
    <mergeCell ref="Y131:Y132"/>
    <mergeCell ref="Z131:Z132"/>
    <mergeCell ref="W133:W134"/>
    <mergeCell ref="X133:X134"/>
    <mergeCell ref="Y133:Y134"/>
    <mergeCell ref="Z133:Z134"/>
    <mergeCell ref="W135:W136"/>
    <mergeCell ref="X135:X136"/>
    <mergeCell ref="Y135:Y136"/>
    <mergeCell ref="Z135:Z136"/>
    <mergeCell ref="W137:W138"/>
    <mergeCell ref="X137:X138"/>
    <mergeCell ref="Y137:Y138"/>
    <mergeCell ref="Z137:Z138"/>
    <mergeCell ref="W139:W140"/>
    <mergeCell ref="X139:X140"/>
    <mergeCell ref="Y139:Y140"/>
    <mergeCell ref="Z139:Z140"/>
    <mergeCell ref="W141:W142"/>
    <mergeCell ref="X141:X142"/>
    <mergeCell ref="Y141:Y142"/>
    <mergeCell ref="Z141:Z142"/>
    <mergeCell ref="AC127:AC128"/>
    <mergeCell ref="AD127:AD128"/>
    <mergeCell ref="AE127:AE128"/>
    <mergeCell ref="AF127:AF128"/>
    <mergeCell ref="AC129:AC130"/>
    <mergeCell ref="AD129:AD130"/>
    <mergeCell ref="AE129:AE130"/>
    <mergeCell ref="AF129:AF130"/>
    <mergeCell ref="AC131:AC132"/>
    <mergeCell ref="AD131:AD132"/>
    <mergeCell ref="AE131:AE132"/>
    <mergeCell ref="AF131:AF132"/>
    <mergeCell ref="AC133:AC134"/>
    <mergeCell ref="AD133:AD134"/>
    <mergeCell ref="AE133:AE134"/>
    <mergeCell ref="AF133:AF134"/>
    <mergeCell ref="AC135:AC136"/>
    <mergeCell ref="AD135:AD136"/>
    <mergeCell ref="AE135:AE136"/>
    <mergeCell ref="AF135:AF136"/>
    <mergeCell ref="AC137:AC138"/>
    <mergeCell ref="AD137:AD138"/>
    <mergeCell ref="AE137:AE138"/>
    <mergeCell ref="AF137:AF138"/>
    <mergeCell ref="AC139:AC140"/>
    <mergeCell ref="AD139:AD140"/>
    <mergeCell ref="AE139:AE140"/>
    <mergeCell ref="AF139:AF140"/>
    <mergeCell ref="AC141:AC142"/>
    <mergeCell ref="AD141:AD142"/>
    <mergeCell ref="AE141:AE142"/>
    <mergeCell ref="AF141:AF142"/>
    <mergeCell ref="E127:E128"/>
    <mergeCell ref="F127:F128"/>
    <mergeCell ref="G127:G128"/>
    <mergeCell ref="H127:H128"/>
    <mergeCell ref="E129:E130"/>
    <mergeCell ref="F129:F130"/>
    <mergeCell ref="G129:G130"/>
    <mergeCell ref="H129:H130"/>
    <mergeCell ref="E131:E132"/>
    <mergeCell ref="F131:F132"/>
    <mergeCell ref="G131:G132"/>
    <mergeCell ref="H131:H132"/>
    <mergeCell ref="E133:E134"/>
    <mergeCell ref="F133:F134"/>
    <mergeCell ref="G133:G134"/>
    <mergeCell ref="H133:H134"/>
    <mergeCell ref="E135:E136"/>
    <mergeCell ref="F135:F136"/>
    <mergeCell ref="G135:G136"/>
    <mergeCell ref="H135:H136"/>
    <mergeCell ref="E137:E138"/>
    <mergeCell ref="F137:F138"/>
    <mergeCell ref="G137:G138"/>
    <mergeCell ref="H137:H138"/>
    <mergeCell ref="E139:E140"/>
    <mergeCell ref="F139:F140"/>
    <mergeCell ref="G139:G140"/>
    <mergeCell ref="H139:H140"/>
    <mergeCell ref="E141:E142"/>
    <mergeCell ref="F141:F142"/>
    <mergeCell ref="G141:G142"/>
    <mergeCell ref="H141:H142"/>
    <mergeCell ref="M146:M147"/>
    <mergeCell ref="N146:N147"/>
    <mergeCell ref="K148:K149"/>
    <mergeCell ref="L148:L149"/>
    <mergeCell ref="M148:M149"/>
    <mergeCell ref="N148:N149"/>
    <mergeCell ref="E146:E147"/>
    <mergeCell ref="F146:F147"/>
    <mergeCell ref="G146:G147"/>
    <mergeCell ref="H146:H147"/>
    <mergeCell ref="E148:E149"/>
    <mergeCell ref="F148:F149"/>
    <mergeCell ref="G148:G149"/>
    <mergeCell ref="H148:H149"/>
    <mergeCell ref="J141:J142"/>
    <mergeCell ref="Q146:Q147"/>
    <mergeCell ref="R146:R147"/>
    <mergeCell ref="Q150:Q151"/>
    <mergeCell ref="R150:R151"/>
    <mergeCell ref="K146:K147"/>
    <mergeCell ref="L146:L147"/>
    <mergeCell ref="S146:S147"/>
    <mergeCell ref="T146:T147"/>
    <mergeCell ref="Q148:Q149"/>
    <mergeCell ref="R148:R149"/>
    <mergeCell ref="S148:S149"/>
    <mergeCell ref="T148:T149"/>
    <mergeCell ref="S150:S151"/>
    <mergeCell ref="T150:T151"/>
    <mergeCell ref="W146:W147"/>
    <mergeCell ref="X146:X147"/>
    <mergeCell ref="Y146:Y147"/>
    <mergeCell ref="Z146:Z147"/>
    <mergeCell ref="W148:W149"/>
    <mergeCell ref="X148:X149"/>
    <mergeCell ref="Y148:Y149"/>
    <mergeCell ref="Z148:Z149"/>
    <mergeCell ref="W150:W151"/>
    <mergeCell ref="X150:X151"/>
    <mergeCell ref="Y150:Y151"/>
    <mergeCell ref="Z150:Z151"/>
    <mergeCell ref="AC146:AC147"/>
    <mergeCell ref="AD146:AD147"/>
    <mergeCell ref="AC150:AC151"/>
    <mergeCell ref="AD150:AD151"/>
    <mergeCell ref="AE146:AE147"/>
    <mergeCell ref="AF146:AF147"/>
    <mergeCell ref="AC148:AC149"/>
    <mergeCell ref="AD148:AD149"/>
    <mergeCell ref="AE148:AE149"/>
    <mergeCell ref="AF148:AF149"/>
    <mergeCell ref="AE150:AE151"/>
    <mergeCell ref="AF150:AF151"/>
    <mergeCell ref="E150:E151"/>
    <mergeCell ref="F150:F151"/>
    <mergeCell ref="G150:G151"/>
    <mergeCell ref="H150:H151"/>
    <mergeCell ref="E196:E197"/>
    <mergeCell ref="F196:F197"/>
    <mergeCell ref="G196:G197"/>
    <mergeCell ref="H196:H197"/>
    <mergeCell ref="E198:E199"/>
    <mergeCell ref="F198:F199"/>
    <mergeCell ref="G198:G199"/>
    <mergeCell ref="H198:H199"/>
    <mergeCell ref="E200:E201"/>
    <mergeCell ref="F200:F201"/>
    <mergeCell ref="G200:G201"/>
    <mergeCell ref="H200:H201"/>
    <mergeCell ref="H202:H203"/>
    <mergeCell ref="E192:E193"/>
    <mergeCell ref="F192:F193"/>
    <mergeCell ref="G192:G193"/>
    <mergeCell ref="H192:H193"/>
    <mergeCell ref="E187:E188"/>
    <mergeCell ref="F187:F188"/>
    <mergeCell ref="G187:G188"/>
    <mergeCell ref="H187:H188"/>
    <mergeCell ref="E183:E184"/>
    <mergeCell ref="F183:F184"/>
    <mergeCell ref="G183:G184"/>
    <mergeCell ref="H183:H184"/>
    <mergeCell ref="E179:E180"/>
    <mergeCell ref="F179:F180"/>
    <mergeCell ref="G179:G180"/>
    <mergeCell ref="H208:H209"/>
    <mergeCell ref="E210:E211"/>
    <mergeCell ref="F210:F211"/>
    <mergeCell ref="G210:G211"/>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K210:K211"/>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S213:S214"/>
    <mergeCell ref="T213:T214"/>
    <mergeCell ref="Q215:Q216"/>
    <mergeCell ref="R215:R216"/>
    <mergeCell ref="S215:S216"/>
    <mergeCell ref="T215:T216"/>
    <mergeCell ref="Q217:Q218"/>
    <mergeCell ref="R217:R218"/>
    <mergeCell ref="S217:S218"/>
    <mergeCell ref="T217:T218"/>
    <mergeCell ref="W213:W214"/>
    <mergeCell ref="X213:X214"/>
    <mergeCell ref="W217:W218"/>
    <mergeCell ref="X217:X218"/>
    <mergeCell ref="Q213:Q214"/>
    <mergeCell ref="R213:R214"/>
    <mergeCell ref="Y213:Y214"/>
    <mergeCell ref="Z213:Z214"/>
    <mergeCell ref="W215:W216"/>
    <mergeCell ref="X215:X216"/>
    <mergeCell ref="Y215:Y216"/>
    <mergeCell ref="Z215:Z216"/>
    <mergeCell ref="Y217:Y218"/>
    <mergeCell ref="Z217:Z218"/>
    <mergeCell ref="AC213:AC214"/>
    <mergeCell ref="AD213:AD214"/>
    <mergeCell ref="AE213:AE214"/>
    <mergeCell ref="AF213:AF214"/>
    <mergeCell ref="AC215:AC216"/>
    <mergeCell ref="AD215:AD216"/>
    <mergeCell ref="AE215:AE216"/>
    <mergeCell ref="AF215:AF216"/>
    <mergeCell ref="AC217:AC218"/>
    <mergeCell ref="AD217:AD218"/>
    <mergeCell ref="AE217:AE218"/>
    <mergeCell ref="AF217:AF218"/>
    <mergeCell ref="E213:E214"/>
    <mergeCell ref="F213:F214"/>
    <mergeCell ref="G213:G214"/>
    <mergeCell ref="H213:H214"/>
    <mergeCell ref="E215:E216"/>
    <mergeCell ref="F215:F216"/>
    <mergeCell ref="G215:G216"/>
    <mergeCell ref="H215:H216"/>
    <mergeCell ref="E217:E218"/>
    <mergeCell ref="F217:F218"/>
    <mergeCell ref="G217:G218"/>
    <mergeCell ref="H217:H218"/>
    <mergeCell ref="J213:J214"/>
    <mergeCell ref="P213:P214"/>
    <mergeCell ref="V213:V214"/>
    <mergeCell ref="AB213:AB214"/>
  </mergeCells>
  <pageMargins left="0.38" right="0.35" top="0.27" bottom="0.23" header="0.21" footer="0.18"/>
  <pageSetup paperSize="9" scale="9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F6B3-BEA5-4802-92F9-F5DF81FB9ECB}">
  <dimension ref="A1:AH256"/>
  <sheetViews>
    <sheetView zoomScaleNormal="100" workbookViewId="0">
      <selection activeCell="AC235" sqref="AC235:AF235"/>
    </sheetView>
  </sheetViews>
  <sheetFormatPr defaultColWidth="9.109375" defaultRowHeight="10.199999999999999" x14ac:dyDescent="0.2"/>
  <cols>
    <col min="1" max="1" width="3.44140625" style="11" customWidth="1"/>
    <col min="2" max="2" width="33.21875" style="11" customWidth="1"/>
    <col min="3" max="4" width="5.88671875"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326"/>
      <c r="E2" s="326"/>
      <c r="F2" s="326"/>
      <c r="G2" s="326"/>
      <c r="H2" s="326"/>
      <c r="I2" s="326"/>
      <c r="J2" s="326"/>
      <c r="K2" s="326"/>
      <c r="L2" s="326"/>
      <c r="M2" s="326"/>
      <c r="N2" s="326"/>
      <c r="O2" s="215"/>
    </row>
    <row r="3" spans="1:34" x14ac:dyDescent="0.2">
      <c r="A3" s="297" t="s">
        <v>50</v>
      </c>
      <c r="B3" s="297"/>
      <c r="C3" s="297"/>
      <c r="D3" s="12"/>
      <c r="F3" s="37"/>
      <c r="J3" s="37"/>
      <c r="N3" s="546"/>
      <c r="O3" s="547"/>
    </row>
    <row r="4" spans="1:34" x14ac:dyDescent="0.2">
      <c r="A4" s="297" t="s">
        <v>71</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174</v>
      </c>
      <c r="B8" s="268"/>
      <c r="C8" s="268"/>
      <c r="D8" s="326"/>
      <c r="E8" s="326"/>
      <c r="F8" s="326"/>
      <c r="G8" s="326"/>
      <c r="H8" s="326"/>
      <c r="I8" s="326"/>
      <c r="J8" s="326"/>
      <c r="K8" s="326"/>
      <c r="L8" s="326"/>
      <c r="M8" s="326"/>
      <c r="N8" s="326"/>
      <c r="O8" s="326"/>
      <c r="P8" s="326"/>
      <c r="Q8" s="326"/>
      <c r="R8" s="326"/>
      <c r="S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91"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91"/>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91"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91"/>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91"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91"/>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91"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91"/>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91"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91"/>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91"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91"/>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73"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73"/>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73"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73"/>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73"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73"/>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39.6" customHeight="1" x14ac:dyDescent="0.2">
      <c r="A82" s="289"/>
      <c r="B82" s="33" t="s">
        <v>95</v>
      </c>
      <c r="C82" s="34"/>
      <c r="D82" s="24" t="s">
        <v>135</v>
      </c>
      <c r="E82" s="35">
        <v>2</v>
      </c>
      <c r="F82" s="35">
        <v>2</v>
      </c>
      <c r="G82" s="35">
        <v>2</v>
      </c>
      <c r="H82" s="35">
        <v>1</v>
      </c>
      <c r="I82" s="35"/>
      <c r="J82" s="35">
        <v>7</v>
      </c>
      <c r="K82" s="35">
        <v>2</v>
      </c>
      <c r="L82" s="35">
        <v>2</v>
      </c>
      <c r="M82" s="35">
        <v>2</v>
      </c>
      <c r="N82" s="35">
        <v>1</v>
      </c>
      <c r="O82" s="162"/>
      <c r="P82" s="35">
        <v>7</v>
      </c>
      <c r="Q82" s="35">
        <v>2</v>
      </c>
      <c r="R82" s="35">
        <v>2</v>
      </c>
      <c r="S82" s="35">
        <v>2</v>
      </c>
      <c r="T82" s="35">
        <v>1</v>
      </c>
      <c r="U82" s="35"/>
      <c r="V82" s="35">
        <v>7</v>
      </c>
      <c r="W82" s="35">
        <v>2</v>
      </c>
      <c r="X82" s="35">
        <v>2</v>
      </c>
      <c r="Y82" s="35">
        <v>2</v>
      </c>
      <c r="Z82" s="35">
        <v>1</v>
      </c>
      <c r="AA82" s="162"/>
      <c r="AB82" s="35">
        <v>7</v>
      </c>
      <c r="AC82" s="35">
        <v>2</v>
      </c>
      <c r="AD82" s="35">
        <v>2</v>
      </c>
      <c r="AE82" s="35">
        <v>2</v>
      </c>
      <c r="AF82" s="35">
        <v>1</v>
      </c>
      <c r="AG82" s="35"/>
      <c r="AH82" s="35">
        <v>7</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4</v>
      </c>
      <c r="F95" s="162">
        <v>4</v>
      </c>
      <c r="G95" s="162">
        <v>4</v>
      </c>
      <c r="H95" s="162">
        <v>3</v>
      </c>
      <c r="I95" s="35"/>
      <c r="J95" s="35">
        <v>15</v>
      </c>
      <c r="K95" s="162">
        <v>4</v>
      </c>
      <c r="L95" s="162">
        <v>4</v>
      </c>
      <c r="M95" s="162">
        <v>4</v>
      </c>
      <c r="N95" s="162">
        <v>3</v>
      </c>
      <c r="O95" s="35"/>
      <c r="P95" s="35">
        <v>15</v>
      </c>
      <c r="Q95" s="162">
        <v>4</v>
      </c>
      <c r="R95" s="162">
        <v>4</v>
      </c>
      <c r="S95" s="162">
        <v>4</v>
      </c>
      <c r="T95" s="162">
        <v>3</v>
      </c>
      <c r="U95" s="35"/>
      <c r="V95" s="35">
        <v>15</v>
      </c>
      <c r="W95" s="162">
        <v>4</v>
      </c>
      <c r="X95" s="162">
        <v>4</v>
      </c>
      <c r="Y95" s="162">
        <v>4</v>
      </c>
      <c r="Z95" s="162">
        <v>3</v>
      </c>
      <c r="AA95" s="162"/>
      <c r="AB95" s="35">
        <v>15</v>
      </c>
      <c r="AC95" s="162">
        <v>4</v>
      </c>
      <c r="AD95" s="162">
        <v>4</v>
      </c>
      <c r="AE95" s="162">
        <v>4</v>
      </c>
      <c r="AF95" s="162">
        <v>3</v>
      </c>
      <c r="AG95" s="35"/>
      <c r="AH95" s="35">
        <v>15</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ht="25.5" customHeight="1"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273"/>
      <c r="B109" s="49" t="s">
        <v>23</v>
      </c>
      <c r="C109" s="49"/>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273"/>
      <c r="B110" s="549"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273"/>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273"/>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273"/>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273"/>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273"/>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273"/>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273"/>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273"/>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273"/>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273"/>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273"/>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273"/>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273"/>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84"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84"/>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84"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84"/>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84"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84"/>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89"/>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73"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73"/>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73"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73"/>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73"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73"/>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91" t="s">
        <v>88</v>
      </c>
      <c r="C171" s="273"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273"/>
      <c r="B172" s="291"/>
      <c r="C172" s="273"/>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273"/>
      <c r="B173" s="291"/>
      <c r="C173" s="273"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273"/>
      <c r="B174" s="291"/>
      <c r="C174" s="273"/>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273"/>
      <c r="B175" s="291"/>
      <c r="C175" s="273"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273"/>
      <c r="B176" s="291"/>
      <c r="C176" s="273"/>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91" t="s">
        <v>141</v>
      </c>
      <c r="C177" s="273"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273"/>
      <c r="B178" s="291"/>
      <c r="C178" s="273"/>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273"/>
      <c r="B179" s="291"/>
      <c r="C179" s="273"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273"/>
      <c r="B180" s="291"/>
      <c r="C180" s="273"/>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273"/>
      <c r="B181" s="291"/>
      <c r="C181" s="273"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273"/>
      <c r="B182" s="291"/>
      <c r="C182" s="273"/>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26.25" customHeight="1" x14ac:dyDescent="0.2">
      <c r="A183" s="273"/>
      <c r="B183" s="291" t="s">
        <v>89</v>
      </c>
      <c r="C183" s="273"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273"/>
      <c r="B184" s="291"/>
      <c r="C184" s="273"/>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273"/>
      <c r="B185" s="291"/>
      <c r="C185" s="273"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273"/>
      <c r="B186" s="291"/>
      <c r="C186" s="273"/>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273"/>
      <c r="B187" s="291"/>
      <c r="C187" s="273"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273"/>
      <c r="B188" s="291"/>
      <c r="C188" s="273"/>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64" t="s">
        <v>29</v>
      </c>
      <c r="C194" s="264"/>
      <c r="D194" s="219"/>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f>58.3%-2%</f>
        <v>0.56299999999999994</v>
      </c>
      <c r="F196" s="254">
        <f>58.3%-2%</f>
        <v>0.56299999999999994</v>
      </c>
      <c r="G196" s="254">
        <f>58.3%-2%</f>
        <v>0.56299999999999994</v>
      </c>
      <c r="H196" s="254">
        <f>58.3%-2%</f>
        <v>0.56299999999999994</v>
      </c>
      <c r="I196" s="45"/>
      <c r="J196" s="254">
        <f>58.3%-2%</f>
        <v>0.56299999999999994</v>
      </c>
      <c r="K196" s="254">
        <f>E196-2%</f>
        <v>0.54299999999999993</v>
      </c>
      <c r="L196" s="254">
        <f>F196-2%</f>
        <v>0.54299999999999993</v>
      </c>
      <c r="M196" s="254">
        <f>G196-2%</f>
        <v>0.54299999999999993</v>
      </c>
      <c r="N196" s="254">
        <f>H196-2%</f>
        <v>0.54299999999999993</v>
      </c>
      <c r="O196" s="45"/>
      <c r="P196" s="254">
        <f>J196-2%</f>
        <v>0.54299999999999993</v>
      </c>
      <c r="Q196" s="254">
        <f>K196-2%</f>
        <v>0.52299999999999991</v>
      </c>
      <c r="R196" s="254">
        <f>L196-2%</f>
        <v>0.52299999999999991</v>
      </c>
      <c r="S196" s="254">
        <f>M196-2%</f>
        <v>0.52299999999999991</v>
      </c>
      <c r="T196" s="254">
        <f>N196-2%</f>
        <v>0.52299999999999991</v>
      </c>
      <c r="U196" s="45"/>
      <c r="V196" s="254">
        <f>P196-2%</f>
        <v>0.52299999999999991</v>
      </c>
      <c r="W196" s="254">
        <f>Q196-2%</f>
        <v>0.50299999999999989</v>
      </c>
      <c r="X196" s="254">
        <f>R196-2%</f>
        <v>0.50299999999999989</v>
      </c>
      <c r="Y196" s="254">
        <f>S196-2%</f>
        <v>0.50299999999999989</v>
      </c>
      <c r="Z196" s="254">
        <f>T196-2%</f>
        <v>0.50299999999999989</v>
      </c>
      <c r="AA196" s="45"/>
      <c r="AB196" s="254">
        <f>V196-2%</f>
        <v>0.50299999999999989</v>
      </c>
      <c r="AC196" s="254">
        <v>0.40679999999999999</v>
      </c>
      <c r="AD196" s="254">
        <v>0.40679999999999999</v>
      </c>
      <c r="AE196" s="254">
        <v>0.40679999999999999</v>
      </c>
      <c r="AF196" s="254">
        <v>0.40679999999999999</v>
      </c>
      <c r="AG196" s="29"/>
      <c r="AH196" s="254">
        <v>0.40679999999999999</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19.23/(19.23+4.629+4.219)</f>
        <v>0.68487784030201571</v>
      </c>
      <c r="X198" s="252">
        <f>19.23/(19.23+4.629+4.219)</f>
        <v>0.68487784030201571</v>
      </c>
      <c r="Y198" s="252">
        <f>19.23/(19.23+4.629+4.219)</f>
        <v>0.68487784030201571</v>
      </c>
      <c r="Z198" s="252">
        <f>19.23/(19.23+4.629+4.219)</f>
        <v>0.68487784030201571</v>
      </c>
      <c r="AA198" s="19"/>
      <c r="AB198" s="252">
        <f>19.23/(19.23+4.629+4.219)</f>
        <v>0.68487784030201571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1.7</v>
      </c>
      <c r="F200" s="250">
        <v>1.7</v>
      </c>
      <c r="G200" s="250">
        <v>1.7</v>
      </c>
      <c r="H200" s="250">
        <v>1.7</v>
      </c>
      <c r="I200" s="26"/>
      <c r="J200" s="250">
        <v>1.7</v>
      </c>
      <c r="K200" s="250">
        <v>1.7</v>
      </c>
      <c r="L200" s="250">
        <v>1.7</v>
      </c>
      <c r="M200" s="250">
        <v>1.7</v>
      </c>
      <c r="N200" s="250">
        <v>1.7</v>
      </c>
      <c r="O200" s="26"/>
      <c r="P200" s="250">
        <v>1.7</v>
      </c>
      <c r="Q200" s="250">
        <v>1.7</v>
      </c>
      <c r="R200" s="250">
        <v>1.7</v>
      </c>
      <c r="S200" s="250">
        <v>1.7</v>
      </c>
      <c r="T200" s="250">
        <v>1.7</v>
      </c>
      <c r="U200" s="26"/>
      <c r="V200" s="250">
        <v>1.7</v>
      </c>
      <c r="W200" s="250">
        <v>1.7</v>
      </c>
      <c r="X200" s="250">
        <v>1.7</v>
      </c>
      <c r="Y200" s="250">
        <v>1.7</v>
      </c>
      <c r="Z200" s="250">
        <v>1.7</v>
      </c>
      <c r="AA200" s="26"/>
      <c r="AB200" s="250">
        <v>1.7</v>
      </c>
      <c r="AC200" s="250">
        <v>1.7</v>
      </c>
      <c r="AD200" s="250">
        <v>1.7</v>
      </c>
      <c r="AE200" s="250">
        <v>1.7</v>
      </c>
      <c r="AF200" s="250">
        <v>1.7</v>
      </c>
      <c r="AG200" s="26"/>
      <c r="AH200" s="250">
        <v>1.7</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53">
        <f>17.43/19.2</f>
        <v>0.90781250000000002</v>
      </c>
      <c r="F208" s="253">
        <f>17.43/19.2</f>
        <v>0.90781250000000002</v>
      </c>
      <c r="G208" s="253">
        <f>17.43/19.2</f>
        <v>0.90781250000000002</v>
      </c>
      <c r="H208" s="253">
        <f>17.43/19.2</f>
        <v>0.90781250000000002</v>
      </c>
      <c r="I208" s="19"/>
      <c r="J208" s="253">
        <f>17.43/19.2</f>
        <v>0.90781250000000002</v>
      </c>
      <c r="K208" s="253">
        <f>17.43/19.2</f>
        <v>0.90781250000000002</v>
      </c>
      <c r="L208" s="253">
        <f>17.43/19.2</f>
        <v>0.90781250000000002</v>
      </c>
      <c r="M208" s="253">
        <f>17.43/19.2</f>
        <v>0.90781250000000002</v>
      </c>
      <c r="N208" s="253">
        <f>17.43/19.2</f>
        <v>0.90781250000000002</v>
      </c>
      <c r="O208" s="19"/>
      <c r="P208" s="253">
        <f>17.43/19.2</f>
        <v>0.90781250000000002</v>
      </c>
      <c r="Q208" s="253">
        <f>17.43/19.2</f>
        <v>0.90781250000000002</v>
      </c>
      <c r="R208" s="253">
        <f>17.43/19.2</f>
        <v>0.90781250000000002</v>
      </c>
      <c r="S208" s="253">
        <f>17.43/19.2</f>
        <v>0.90781250000000002</v>
      </c>
      <c r="T208" s="253">
        <f>17.43/19.2</f>
        <v>0.90781250000000002</v>
      </c>
      <c r="U208" s="19"/>
      <c r="V208" s="253">
        <f>17.43/19.2</f>
        <v>0.90781250000000002</v>
      </c>
      <c r="W208" s="253">
        <f>(17.43+4.629+4.219)/19.2</f>
        <v>1.3686458333333333</v>
      </c>
      <c r="X208" s="253">
        <f>(17.43+4.629+4.219)/19.2</f>
        <v>1.3686458333333333</v>
      </c>
      <c r="Y208" s="253">
        <f>(17.43+4.629+4.219)/19.2</f>
        <v>1.3686458333333333</v>
      </c>
      <c r="Z208" s="253">
        <f>(17.43+4.629+4.219)/19.2</f>
        <v>1.3686458333333333</v>
      </c>
      <c r="AA208" s="19"/>
      <c r="AB208" s="253">
        <f>(17.43+4.629+4.219)/19.2</f>
        <v>1.3686458333333333</v>
      </c>
      <c r="AC208" s="253">
        <f>(17.43+4.629+4.219)/19.2</f>
        <v>1.3686458333333333</v>
      </c>
      <c r="AD208" s="253">
        <f>(17.43+4.629+4.219)/19.2</f>
        <v>1.3686458333333333</v>
      </c>
      <c r="AE208" s="253">
        <f>(17.43+4.629+4.219)/19.2</f>
        <v>1.3686458333333333</v>
      </c>
      <c r="AF208" s="253">
        <f>(17.43+4.629+4.219)/19.2</f>
        <v>1.3686458333333333</v>
      </c>
      <c r="AG208" s="19"/>
      <c r="AH208" s="253">
        <f>(17.43+4.629+4.219)/19.2</f>
        <v>1.3686458333333333</v>
      </c>
    </row>
    <row r="209" spans="1:34" x14ac:dyDescent="0.2">
      <c r="A209" s="289"/>
      <c r="B209" s="288"/>
      <c r="C209" s="288"/>
      <c r="D209" s="273"/>
      <c r="E209" s="253"/>
      <c r="F209" s="253"/>
      <c r="G209" s="253"/>
      <c r="H209" s="253"/>
      <c r="I209" s="19"/>
      <c r="J209" s="253"/>
      <c r="K209" s="253"/>
      <c r="L209" s="253"/>
      <c r="M209" s="253"/>
      <c r="N209" s="253"/>
      <c r="O209" s="19"/>
      <c r="P209" s="253"/>
      <c r="Q209" s="253"/>
      <c r="R209" s="253"/>
      <c r="S209" s="253"/>
      <c r="T209" s="253"/>
      <c r="U209" s="19"/>
      <c r="V209" s="253"/>
      <c r="W209" s="253"/>
      <c r="X209" s="253"/>
      <c r="Y209" s="253"/>
      <c r="Z209" s="253"/>
      <c r="AA209" s="19"/>
      <c r="AB209" s="253"/>
      <c r="AC209" s="253"/>
      <c r="AD209" s="253"/>
      <c r="AE209" s="253"/>
      <c r="AF209" s="253"/>
      <c r="AG209" s="19"/>
      <c r="AH209" s="253"/>
    </row>
    <row r="210" spans="1:34" ht="15.75" customHeight="1" x14ac:dyDescent="0.2">
      <c r="A210" s="289"/>
      <c r="B210" s="284" t="s">
        <v>131</v>
      </c>
      <c r="C210" s="284"/>
      <c r="D210" s="273" t="s">
        <v>78</v>
      </c>
      <c r="E210" s="249">
        <f>4077/4077</f>
        <v>1</v>
      </c>
      <c r="F210" s="249">
        <f>4077/4077</f>
        <v>1</v>
      </c>
      <c r="G210" s="249">
        <f>4077/4077</f>
        <v>1</v>
      </c>
      <c r="H210" s="249">
        <f>4077/4077</f>
        <v>1</v>
      </c>
      <c r="I210" s="29"/>
      <c r="J210" s="249">
        <f>4077/4077</f>
        <v>1</v>
      </c>
      <c r="K210" s="249">
        <f>2669/2669</f>
        <v>1</v>
      </c>
      <c r="L210" s="249">
        <f>2669/2669</f>
        <v>1</v>
      </c>
      <c r="M210" s="249">
        <f>2669/2669</f>
        <v>1</v>
      </c>
      <c r="N210" s="249">
        <f>2669/2669</f>
        <v>1</v>
      </c>
      <c r="O210" s="29"/>
      <c r="P210" s="249">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29"/>
      <c r="J211" s="249"/>
      <c r="K211" s="249"/>
      <c r="L211" s="249"/>
      <c r="M211" s="249"/>
      <c r="N211" s="249"/>
      <c r="O211" s="29"/>
      <c r="P211" s="249"/>
      <c r="Q211" s="249"/>
      <c r="R211" s="249"/>
      <c r="S211" s="249"/>
      <c r="T211" s="249"/>
      <c r="U211" s="19"/>
      <c r="V211" s="249"/>
      <c r="W211" s="249"/>
      <c r="X211" s="249"/>
      <c r="Y211" s="249"/>
      <c r="Z211" s="249"/>
      <c r="AA211" s="19"/>
      <c r="AB211" s="249"/>
      <c r="AC211" s="249"/>
      <c r="AD211" s="249"/>
      <c r="AE211" s="249"/>
      <c r="AF211" s="249"/>
      <c r="AG211" s="19"/>
      <c r="AH211" s="249"/>
    </row>
    <row r="212" spans="1:34" ht="23.2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f>18.75/19.2</f>
        <v>0.9765625</v>
      </c>
      <c r="F213" s="249">
        <f>18.75/19.2</f>
        <v>0.9765625</v>
      </c>
      <c r="G213" s="249">
        <f>18.75/19.2</f>
        <v>0.9765625</v>
      </c>
      <c r="H213" s="249">
        <f>18.75/19.2</f>
        <v>0.9765625</v>
      </c>
      <c r="I213" s="19"/>
      <c r="J213" s="249">
        <f>18.75/19.2</f>
        <v>0.9765625</v>
      </c>
      <c r="K213" s="249">
        <f>18.75/19.2</f>
        <v>0.9765625</v>
      </c>
      <c r="L213" s="249">
        <f>18.75/19.2</f>
        <v>0.9765625</v>
      </c>
      <c r="M213" s="249">
        <f>18.75/19.2</f>
        <v>0.9765625</v>
      </c>
      <c r="N213" s="249">
        <f>18.75/19.2</f>
        <v>0.9765625</v>
      </c>
      <c r="O213" s="19"/>
      <c r="P213" s="249">
        <f>18.75/19.2</f>
        <v>0.9765625</v>
      </c>
      <c r="Q213" s="249">
        <f>18.75/19.2</f>
        <v>0.9765625</v>
      </c>
      <c r="R213" s="249">
        <f>18.75/19.2</f>
        <v>0.9765625</v>
      </c>
      <c r="S213" s="249">
        <f>18.75/19.2</f>
        <v>0.9765625</v>
      </c>
      <c r="T213" s="249">
        <f>18.75/19.2</f>
        <v>0.9765625</v>
      </c>
      <c r="U213" s="19"/>
      <c r="V213" s="249">
        <f>18.75/19.2</f>
        <v>0.9765625</v>
      </c>
      <c r="W213" s="249">
        <f>18.75/19.2</f>
        <v>0.9765625</v>
      </c>
      <c r="X213" s="249">
        <f>18.75/19.2</f>
        <v>0.9765625</v>
      </c>
      <c r="Y213" s="249">
        <f>18.75/19.2</f>
        <v>0.9765625</v>
      </c>
      <c r="Z213" s="249">
        <f>18.75/19.2</f>
        <v>0.9765625</v>
      </c>
      <c r="AA213" s="19"/>
      <c r="AB213" s="249">
        <f>18.75/19.2</f>
        <v>0.9765625</v>
      </c>
      <c r="AC213" s="249">
        <f>18.75/19.2</f>
        <v>0.9765625</v>
      </c>
      <c r="AD213" s="249">
        <f>18.75/19.2</f>
        <v>0.9765625</v>
      </c>
      <c r="AE213" s="249">
        <f>18.75/19.2</f>
        <v>0.9765625</v>
      </c>
      <c r="AF213" s="249">
        <f>18.75/19.2</f>
        <v>0.9765625</v>
      </c>
      <c r="AG213" s="19"/>
      <c r="AH213" s="249">
        <f>18.75/19.2</f>
        <v>0.9765625</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v>1</v>
      </c>
      <c r="X215" s="249">
        <v>1</v>
      </c>
      <c r="Y215" s="249">
        <v>1</v>
      </c>
      <c r="Z215" s="249">
        <v>1</v>
      </c>
      <c r="AA215" s="19"/>
      <c r="AB215" s="249">
        <v>1</v>
      </c>
      <c r="AC215" s="249">
        <v>1</v>
      </c>
      <c r="AD215" s="249">
        <v>1</v>
      </c>
      <c r="AE215" s="249">
        <v>1</v>
      </c>
      <c r="AF215" s="249">
        <v>1</v>
      </c>
      <c r="AG215" s="19"/>
      <c r="AH215" s="249">
        <v>1</v>
      </c>
    </row>
    <row r="216" spans="1:34"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2.5</v>
      </c>
      <c r="F217" s="250">
        <v>2.5</v>
      </c>
      <c r="G217" s="250">
        <v>2.5</v>
      </c>
      <c r="H217" s="250">
        <v>2.5</v>
      </c>
      <c r="I217" s="26"/>
      <c r="J217" s="250">
        <v>2.5</v>
      </c>
      <c r="K217" s="250">
        <v>2.5</v>
      </c>
      <c r="L217" s="250">
        <v>2.5</v>
      </c>
      <c r="M217" s="250">
        <v>2.5</v>
      </c>
      <c r="N217" s="250">
        <v>2.5</v>
      </c>
      <c r="O217" s="26"/>
      <c r="P217" s="250">
        <v>2.5</v>
      </c>
      <c r="Q217" s="250">
        <v>2.5</v>
      </c>
      <c r="R217" s="250">
        <v>2.5</v>
      </c>
      <c r="S217" s="250">
        <v>2.5</v>
      </c>
      <c r="T217" s="250">
        <v>2.5</v>
      </c>
      <c r="U217" s="26"/>
      <c r="V217" s="250">
        <v>2.5</v>
      </c>
      <c r="W217" s="250">
        <v>2.5</v>
      </c>
      <c r="X217" s="250">
        <v>2.5</v>
      </c>
      <c r="Y217" s="250">
        <v>2.5</v>
      </c>
      <c r="Z217" s="250">
        <v>2.5</v>
      </c>
      <c r="AA217" s="26"/>
      <c r="AB217" s="250">
        <v>2.5</v>
      </c>
      <c r="AC217" s="250">
        <v>2.5</v>
      </c>
      <c r="AD217" s="250">
        <v>2.5</v>
      </c>
      <c r="AE217" s="250">
        <v>2.5</v>
      </c>
      <c r="AF217" s="250">
        <v>2.5</v>
      </c>
      <c r="AG217" s="26"/>
      <c r="AH217" s="250">
        <v>2.5</v>
      </c>
    </row>
    <row r="218" spans="1:34" ht="23.2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90">
        <v>2026</v>
      </c>
      <c r="F222" s="311"/>
      <c r="G222" s="311"/>
      <c r="H222" s="311"/>
      <c r="I222" s="21" t="s">
        <v>5</v>
      </c>
      <c r="J222" s="21"/>
      <c r="K222" s="290">
        <v>2027</v>
      </c>
      <c r="L222" s="311"/>
      <c r="M222" s="311"/>
      <c r="N222" s="311"/>
      <c r="O222" s="21" t="s">
        <v>5</v>
      </c>
      <c r="P222" s="21"/>
      <c r="Q222" s="290">
        <v>2028</v>
      </c>
      <c r="R222" s="311"/>
      <c r="S222" s="311"/>
      <c r="T222" s="311"/>
      <c r="U222" s="21" t="s">
        <v>5</v>
      </c>
      <c r="V222" s="21"/>
      <c r="W222" s="290">
        <v>2029</v>
      </c>
      <c r="X222" s="311"/>
      <c r="Y222" s="311"/>
      <c r="Z222" s="311"/>
      <c r="AA222" s="21" t="s">
        <v>5</v>
      </c>
      <c r="AB222" s="21"/>
      <c r="AC222" s="290">
        <v>2030</v>
      </c>
      <c r="AD222" s="311"/>
      <c r="AE222" s="311"/>
      <c r="AF222" s="311"/>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634</v>
      </c>
      <c r="F226" s="23">
        <v>639</v>
      </c>
      <c r="G226" s="23">
        <v>644</v>
      </c>
      <c r="H226" s="23">
        <v>649</v>
      </c>
      <c r="I226" s="41"/>
      <c r="J226" s="41">
        <v>649</v>
      </c>
      <c r="K226" s="23">
        <v>654</v>
      </c>
      <c r="L226" s="23">
        <v>659</v>
      </c>
      <c r="M226" s="23">
        <v>664</v>
      </c>
      <c r="N226" s="23">
        <v>669</v>
      </c>
      <c r="O226" s="41"/>
      <c r="P226" s="41">
        <v>669</v>
      </c>
      <c r="Q226" s="23">
        <v>677</v>
      </c>
      <c r="R226" s="23">
        <v>684</v>
      </c>
      <c r="S226" s="23">
        <v>692</v>
      </c>
      <c r="T226" s="23">
        <v>699</v>
      </c>
      <c r="U226" s="23"/>
      <c r="V226" s="41">
        <v>699</v>
      </c>
      <c r="W226" s="23">
        <v>796</v>
      </c>
      <c r="X226" s="23">
        <v>894</v>
      </c>
      <c r="Y226" s="23">
        <v>991</v>
      </c>
      <c r="Z226" s="23">
        <v>1088</v>
      </c>
      <c r="AA226" s="41"/>
      <c r="AB226" s="85">
        <v>1088</v>
      </c>
      <c r="AC226" s="23">
        <v>1086</v>
      </c>
      <c r="AD226" s="23">
        <v>1086</v>
      </c>
      <c r="AE226" s="23">
        <v>1087</v>
      </c>
      <c r="AF226" s="23">
        <v>1088</v>
      </c>
      <c r="AG226" s="41"/>
      <c r="AH226" s="85">
        <v>1088</v>
      </c>
    </row>
    <row r="227" spans="1:34" x14ac:dyDescent="0.2">
      <c r="A227" s="289"/>
      <c r="B227" s="284"/>
      <c r="C227" s="284"/>
      <c r="D227" s="25" t="s">
        <v>32</v>
      </c>
      <c r="E227" s="26">
        <v>17.43</v>
      </c>
      <c r="F227" s="26">
        <v>17.43</v>
      </c>
      <c r="G227" s="26">
        <v>17.43</v>
      </c>
      <c r="H227" s="26">
        <v>17.43</v>
      </c>
      <c r="I227" s="26"/>
      <c r="J227" s="26">
        <v>17.43</v>
      </c>
      <c r="K227" s="26">
        <v>17.43</v>
      </c>
      <c r="L227" s="26">
        <v>17.43</v>
      </c>
      <c r="M227" s="26">
        <v>17.43</v>
      </c>
      <c r="N227" s="26">
        <v>17.43</v>
      </c>
      <c r="O227" s="26"/>
      <c r="P227" s="26">
        <v>17.43</v>
      </c>
      <c r="Q227" s="26">
        <v>17.43</v>
      </c>
      <c r="R227" s="26">
        <v>17.43</v>
      </c>
      <c r="S227" s="26">
        <v>17.43</v>
      </c>
      <c r="T227" s="26">
        <v>17.43</v>
      </c>
      <c r="U227" s="44"/>
      <c r="V227" s="26">
        <v>17.43</v>
      </c>
      <c r="W227" s="26">
        <f t="shared" ref="W227:Z228" si="0">17.43+4.629+4.219</f>
        <v>26.277999999999999</v>
      </c>
      <c r="X227" s="26">
        <f t="shared" si="0"/>
        <v>26.277999999999999</v>
      </c>
      <c r="Y227" s="26">
        <f t="shared" si="0"/>
        <v>26.277999999999999</v>
      </c>
      <c r="Z227" s="26">
        <f t="shared" si="0"/>
        <v>26.277999999999999</v>
      </c>
      <c r="AA227" s="26"/>
      <c r="AB227" s="26">
        <f>17.43+4.629+4.219</f>
        <v>26.277999999999999</v>
      </c>
      <c r="AC227" s="26">
        <f t="shared" ref="AC227:AF228" si="1">17.43+4.629+4.219</f>
        <v>26.277999999999999</v>
      </c>
      <c r="AD227" s="26">
        <f t="shared" si="1"/>
        <v>26.277999999999999</v>
      </c>
      <c r="AE227" s="26">
        <f t="shared" si="1"/>
        <v>26.277999999999999</v>
      </c>
      <c r="AF227" s="26">
        <f t="shared" si="1"/>
        <v>26.277999999999999</v>
      </c>
      <c r="AG227" s="26"/>
      <c r="AH227" s="58">
        <f>AB227</f>
        <v>26.277999999999999</v>
      </c>
    </row>
    <row r="228" spans="1:34" ht="15.75" customHeight="1" x14ac:dyDescent="0.2">
      <c r="A228" s="289"/>
      <c r="B228" s="284" t="s">
        <v>46</v>
      </c>
      <c r="C228" s="284"/>
      <c r="D228" s="25" t="s">
        <v>32</v>
      </c>
      <c r="E228" s="26">
        <v>17.43</v>
      </c>
      <c r="F228" s="26">
        <v>17.43</v>
      </c>
      <c r="G228" s="26">
        <v>17.43</v>
      </c>
      <c r="H228" s="26">
        <v>17.43</v>
      </c>
      <c r="I228" s="26"/>
      <c r="J228" s="26">
        <v>17.43</v>
      </c>
      <c r="K228" s="26">
        <v>17.43</v>
      </c>
      <c r="L228" s="26">
        <v>17.43</v>
      </c>
      <c r="M228" s="26">
        <v>17.43</v>
      </c>
      <c r="N228" s="26">
        <v>17.43</v>
      </c>
      <c r="O228" s="26"/>
      <c r="P228" s="26">
        <v>17.43</v>
      </c>
      <c r="Q228" s="26">
        <v>17.43</v>
      </c>
      <c r="R228" s="26">
        <v>17.43</v>
      </c>
      <c r="S228" s="26">
        <v>17.43</v>
      </c>
      <c r="T228" s="26">
        <v>17.43</v>
      </c>
      <c r="U228" s="44"/>
      <c r="V228" s="26">
        <v>17.43</v>
      </c>
      <c r="W228" s="26">
        <f t="shared" si="0"/>
        <v>26.277999999999999</v>
      </c>
      <c r="X228" s="26">
        <f t="shared" si="0"/>
        <v>26.277999999999999</v>
      </c>
      <c r="Y228" s="26">
        <f t="shared" si="0"/>
        <v>26.277999999999999</v>
      </c>
      <c r="Z228" s="26">
        <f t="shared" si="0"/>
        <v>26.277999999999999</v>
      </c>
      <c r="AA228" s="26"/>
      <c r="AB228" s="26">
        <f>17.43+4.629+4.219</f>
        <v>26.277999999999999</v>
      </c>
      <c r="AC228" s="26">
        <f t="shared" si="1"/>
        <v>26.277999999999999</v>
      </c>
      <c r="AD228" s="26">
        <f t="shared" si="1"/>
        <v>26.277999999999999</v>
      </c>
      <c r="AE228" s="26">
        <f t="shared" si="1"/>
        <v>26.277999999999999</v>
      </c>
      <c r="AF228" s="26">
        <f t="shared" si="1"/>
        <v>26.277999999999999</v>
      </c>
      <c r="AG228" s="26"/>
      <c r="AH228" s="58">
        <f>AB228</f>
        <v>26.277999999999999</v>
      </c>
    </row>
    <row r="229" spans="1:34" x14ac:dyDescent="0.2">
      <c r="A229" s="289"/>
      <c r="B229" s="284"/>
      <c r="C229" s="284"/>
      <c r="D229" s="25" t="s">
        <v>143</v>
      </c>
      <c r="E229" s="51">
        <v>992.84</v>
      </c>
      <c r="F229" s="51">
        <v>1034.72</v>
      </c>
      <c r="G229" s="51">
        <v>1076.5999999999999</v>
      </c>
      <c r="H229" s="51">
        <v>1118.48</v>
      </c>
      <c r="I229" s="41"/>
      <c r="J229" s="41">
        <v>1118.48</v>
      </c>
      <c r="K229" s="51">
        <v>1160</v>
      </c>
      <c r="L229" s="51">
        <v>1202</v>
      </c>
      <c r="M229" s="51">
        <v>1244</v>
      </c>
      <c r="N229" s="51">
        <v>1286</v>
      </c>
      <c r="O229" s="41"/>
      <c r="P229" s="41">
        <v>1286</v>
      </c>
      <c r="Q229" s="51">
        <v>1322.2750000000001</v>
      </c>
      <c r="R229" s="51">
        <v>1358.55</v>
      </c>
      <c r="S229" s="51">
        <v>1394.825</v>
      </c>
      <c r="T229" s="51">
        <v>1431.1</v>
      </c>
      <c r="U229" s="51"/>
      <c r="V229" s="41">
        <v>1431.1</v>
      </c>
      <c r="W229" s="51">
        <v>1466.625</v>
      </c>
      <c r="X229" s="51">
        <v>1502.15</v>
      </c>
      <c r="Y229" s="51">
        <v>1537.675</v>
      </c>
      <c r="Z229" s="51">
        <v>1573.2</v>
      </c>
      <c r="AA229" s="41"/>
      <c r="AB229" s="41">
        <v>1573.2</v>
      </c>
      <c r="AC229" s="51">
        <v>1710.3</v>
      </c>
      <c r="AD229" s="51">
        <v>1847.4</v>
      </c>
      <c r="AE229" s="51">
        <v>1984.5</v>
      </c>
      <c r="AF229" s="51">
        <v>2121.6</v>
      </c>
      <c r="AG229" s="41"/>
      <c r="AH229" s="41">
        <v>2121.6</v>
      </c>
    </row>
    <row r="230" spans="1:34" ht="15.75" customHeight="1" x14ac:dyDescent="0.2">
      <c r="A230" s="289"/>
      <c r="B230" s="284" t="s">
        <v>47</v>
      </c>
      <c r="C230" s="284"/>
      <c r="D230" s="25" t="s">
        <v>32</v>
      </c>
      <c r="E230" s="45">
        <v>19.23</v>
      </c>
      <c r="F230" s="45">
        <v>19.23</v>
      </c>
      <c r="G230" s="45">
        <v>19.23</v>
      </c>
      <c r="H230" s="45">
        <v>19.23</v>
      </c>
      <c r="I230" s="41"/>
      <c r="J230" s="26">
        <v>19.23</v>
      </c>
      <c r="K230" s="26">
        <v>19.23</v>
      </c>
      <c r="L230" s="26">
        <v>19.23</v>
      </c>
      <c r="M230" s="26">
        <v>19.23</v>
      </c>
      <c r="N230" s="26">
        <v>19.23</v>
      </c>
      <c r="O230" s="26"/>
      <c r="P230" s="26">
        <v>19.23</v>
      </c>
      <c r="Q230" s="26">
        <v>19.23</v>
      </c>
      <c r="R230" s="26">
        <v>19.23</v>
      </c>
      <c r="S230" s="26">
        <v>19.23</v>
      </c>
      <c r="T230" s="26">
        <v>19.23</v>
      </c>
      <c r="U230" s="44"/>
      <c r="V230" s="26">
        <v>19.23</v>
      </c>
      <c r="W230" s="44">
        <v>28.08</v>
      </c>
      <c r="X230" s="44">
        <v>28.08</v>
      </c>
      <c r="Y230" s="44">
        <v>28.08</v>
      </c>
      <c r="Z230" s="44">
        <v>28.08</v>
      </c>
      <c r="AA230" s="26"/>
      <c r="AB230" s="26">
        <f>19.23+4.629+4.219</f>
        <v>28.078000000000003</v>
      </c>
      <c r="AC230" s="26">
        <f>19.23+4.629+4.219</f>
        <v>28.078000000000003</v>
      </c>
      <c r="AD230" s="26">
        <f>19.23+4.629+4.219</f>
        <v>28.078000000000003</v>
      </c>
      <c r="AE230" s="26">
        <f>19.23+4.629+4.219</f>
        <v>28.078000000000003</v>
      </c>
      <c r="AF230" s="26">
        <f>19.23+4.629+4.219</f>
        <v>28.078000000000003</v>
      </c>
      <c r="AG230" s="26"/>
      <c r="AH230" s="58">
        <f>AB230</f>
        <v>28.078000000000003</v>
      </c>
    </row>
    <row r="231" spans="1:34" x14ac:dyDescent="0.2">
      <c r="A231" s="289"/>
      <c r="B231" s="284"/>
      <c r="C231" s="284"/>
      <c r="D231" s="25" t="s">
        <v>143</v>
      </c>
      <c r="E231" s="51">
        <v>992.84</v>
      </c>
      <c r="F231" s="51">
        <v>1034.72</v>
      </c>
      <c r="G231" s="51">
        <v>1076.5999999999999</v>
      </c>
      <c r="H231" s="51">
        <v>1118.48</v>
      </c>
      <c r="I231" s="41"/>
      <c r="J231" s="41">
        <v>1118.48</v>
      </c>
      <c r="K231" s="51">
        <v>1160</v>
      </c>
      <c r="L231" s="51">
        <v>1202</v>
      </c>
      <c r="M231" s="51">
        <v>1244</v>
      </c>
      <c r="N231" s="51">
        <v>1286</v>
      </c>
      <c r="O231" s="41"/>
      <c r="P231" s="41">
        <v>1286</v>
      </c>
      <c r="Q231" s="51">
        <v>1322.2750000000001</v>
      </c>
      <c r="R231" s="51">
        <v>1358.55</v>
      </c>
      <c r="S231" s="51">
        <v>1394.825</v>
      </c>
      <c r="T231" s="51">
        <v>1431.1</v>
      </c>
      <c r="U231" s="51"/>
      <c r="V231" s="41">
        <v>1431.1</v>
      </c>
      <c r="W231" s="51">
        <v>1466.625</v>
      </c>
      <c r="X231" s="51">
        <v>1502.15</v>
      </c>
      <c r="Y231" s="51">
        <v>1537.675</v>
      </c>
      <c r="Z231" s="51">
        <v>1573.2</v>
      </c>
      <c r="AA231" s="41"/>
      <c r="AB231" s="41">
        <v>1573.2</v>
      </c>
      <c r="AC231" s="51">
        <v>1710.3</v>
      </c>
      <c r="AD231" s="51">
        <v>1847.4</v>
      </c>
      <c r="AE231" s="51">
        <v>1984.5</v>
      </c>
      <c r="AF231" s="51">
        <v>2121.6</v>
      </c>
      <c r="AG231" s="41"/>
      <c r="AH231" s="41">
        <v>2121.6</v>
      </c>
    </row>
    <row r="232" spans="1:34" x14ac:dyDescent="0.2">
      <c r="A232" s="289"/>
      <c r="B232" s="284" t="s">
        <v>36</v>
      </c>
      <c r="C232" s="284"/>
      <c r="D232" s="25" t="s">
        <v>144</v>
      </c>
      <c r="E232" s="23">
        <v>380</v>
      </c>
      <c r="F232" s="23">
        <v>384</v>
      </c>
      <c r="G232" s="23">
        <v>387</v>
      </c>
      <c r="H232" s="23">
        <v>391</v>
      </c>
      <c r="I232" s="41"/>
      <c r="J232" s="41">
        <v>391</v>
      </c>
      <c r="K232" s="23">
        <v>395</v>
      </c>
      <c r="L232" s="23">
        <v>399</v>
      </c>
      <c r="M232" s="23">
        <v>402</v>
      </c>
      <c r="N232" s="23">
        <v>406</v>
      </c>
      <c r="O232" s="41"/>
      <c r="P232" s="41">
        <v>406</v>
      </c>
      <c r="Q232" s="23">
        <v>410</v>
      </c>
      <c r="R232" s="23">
        <v>414</v>
      </c>
      <c r="S232" s="23">
        <v>417</v>
      </c>
      <c r="T232" s="23">
        <v>421</v>
      </c>
      <c r="U232" s="41"/>
      <c r="V232" s="41">
        <v>421</v>
      </c>
      <c r="W232" s="23">
        <v>425</v>
      </c>
      <c r="X232" s="23">
        <v>429</v>
      </c>
      <c r="Y232" s="23">
        <v>432</v>
      </c>
      <c r="Z232" s="23">
        <v>436</v>
      </c>
      <c r="AA232" s="41"/>
      <c r="AB232" s="41">
        <v>436</v>
      </c>
      <c r="AC232" s="23">
        <v>440</v>
      </c>
      <c r="AD232" s="23">
        <v>444</v>
      </c>
      <c r="AE232" s="23">
        <v>447</v>
      </c>
      <c r="AF232" s="23">
        <v>451</v>
      </c>
      <c r="AG232" s="41"/>
      <c r="AH232" s="41">
        <v>451</v>
      </c>
    </row>
    <row r="233" spans="1:34" x14ac:dyDescent="0.2">
      <c r="A233" s="289"/>
      <c r="B233" s="284"/>
      <c r="C233" s="284"/>
      <c r="D233" s="25" t="s">
        <v>32</v>
      </c>
      <c r="E233" s="23">
        <v>10.18</v>
      </c>
      <c r="F233" s="23">
        <v>10.18</v>
      </c>
      <c r="G233" s="23">
        <v>10.18</v>
      </c>
      <c r="H233" s="23">
        <v>10.18</v>
      </c>
      <c r="I233" s="41"/>
      <c r="J233" s="26">
        <v>10.177</v>
      </c>
      <c r="K233" s="26">
        <v>10.177</v>
      </c>
      <c r="L233" s="26">
        <v>10.177</v>
      </c>
      <c r="M233" s="26">
        <v>10.177</v>
      </c>
      <c r="N233" s="26">
        <v>10.177</v>
      </c>
      <c r="O233" s="41"/>
      <c r="P233" s="26">
        <v>10.177</v>
      </c>
      <c r="Q233" s="26">
        <v>10.177</v>
      </c>
      <c r="R233" s="26">
        <v>10.177</v>
      </c>
      <c r="S233" s="26">
        <v>10.177</v>
      </c>
      <c r="T233" s="26">
        <v>10.177</v>
      </c>
      <c r="U233" s="41"/>
      <c r="V233" s="26">
        <v>10.177</v>
      </c>
      <c r="W233" s="23">
        <v>30.24</v>
      </c>
      <c r="X233" s="23">
        <v>30.24</v>
      </c>
      <c r="Y233" s="23">
        <v>30.24</v>
      </c>
      <c r="Z233" s="23">
        <v>30.24</v>
      </c>
      <c r="AA233" s="41"/>
      <c r="AB233" s="26">
        <f>10.177+0.779+19.281</f>
        <v>30.236999999999998</v>
      </c>
      <c r="AC233" s="26">
        <f>10.177+0.779+19.281</f>
        <v>30.236999999999998</v>
      </c>
      <c r="AD233" s="26">
        <f>10.177+0.779+19.281</f>
        <v>30.236999999999998</v>
      </c>
      <c r="AE233" s="26">
        <f>10.177+0.779+19.281</f>
        <v>30.236999999999998</v>
      </c>
      <c r="AF233" s="26">
        <f>10.177+0.779+19.281</f>
        <v>30.236999999999998</v>
      </c>
      <c r="AG233" s="41"/>
      <c r="AH233" s="26">
        <f>AB233</f>
        <v>30.236999999999998</v>
      </c>
    </row>
    <row r="234" spans="1:34" x14ac:dyDescent="0.2">
      <c r="A234" s="289"/>
      <c r="B234" s="284" t="s">
        <v>48</v>
      </c>
      <c r="C234" s="284"/>
      <c r="D234" s="24" t="s">
        <v>143</v>
      </c>
      <c r="E234" s="41">
        <v>591.29499999999996</v>
      </c>
      <c r="F234" s="41">
        <v>606.03</v>
      </c>
      <c r="G234" s="41">
        <v>620.76499999999999</v>
      </c>
      <c r="H234" s="41">
        <v>635.5</v>
      </c>
      <c r="I234" s="41"/>
      <c r="J234" s="47">
        <v>635.5</v>
      </c>
      <c r="K234" s="47">
        <v>650.23500000000001</v>
      </c>
      <c r="L234" s="47">
        <v>664.97</v>
      </c>
      <c r="M234" s="47">
        <v>679.70500000000004</v>
      </c>
      <c r="N234" s="47">
        <v>694.44</v>
      </c>
      <c r="O234" s="41"/>
      <c r="P234" s="41">
        <v>694.44</v>
      </c>
      <c r="Q234" s="47">
        <v>715.98</v>
      </c>
      <c r="R234" s="47">
        <v>737.52</v>
      </c>
      <c r="S234" s="47">
        <v>759.06</v>
      </c>
      <c r="T234" s="47">
        <v>780.6</v>
      </c>
      <c r="U234" s="41"/>
      <c r="V234" s="41">
        <v>780.6</v>
      </c>
      <c r="W234" s="47">
        <v>814.875</v>
      </c>
      <c r="X234" s="47">
        <v>849.15</v>
      </c>
      <c r="Y234" s="47">
        <v>883.42499999999995</v>
      </c>
      <c r="Z234" s="47">
        <v>917.7</v>
      </c>
      <c r="AA234" s="41"/>
      <c r="AB234" s="41">
        <v>917.7</v>
      </c>
      <c r="AC234" s="47">
        <v>920.32500000000005</v>
      </c>
      <c r="AD234" s="47">
        <v>922.95</v>
      </c>
      <c r="AE234" s="47">
        <v>925.57500000000005</v>
      </c>
      <c r="AF234" s="47">
        <v>928.2</v>
      </c>
      <c r="AG234" s="41"/>
      <c r="AH234" s="41">
        <v>928.2</v>
      </c>
    </row>
    <row r="235" spans="1:34" x14ac:dyDescent="0.2">
      <c r="A235" s="289"/>
      <c r="B235" s="284"/>
      <c r="C235" s="284"/>
      <c r="D235" s="24" t="s">
        <v>143</v>
      </c>
      <c r="E235" s="47">
        <f>2512+30</f>
        <v>2542</v>
      </c>
      <c r="F235" s="47">
        <f>2512+30</f>
        <v>2542</v>
      </c>
      <c r="G235" s="47">
        <f>2512+30</f>
        <v>2542</v>
      </c>
      <c r="H235" s="47">
        <f>2512+30</f>
        <v>2542</v>
      </c>
      <c r="I235" s="41"/>
      <c r="J235" s="47">
        <f>2512+30</f>
        <v>2542</v>
      </c>
      <c r="K235" s="41">
        <f>E235+30</f>
        <v>2572</v>
      </c>
      <c r="L235" s="41">
        <f>F235+30</f>
        <v>2572</v>
      </c>
      <c r="M235" s="41">
        <f>G235+30</f>
        <v>2572</v>
      </c>
      <c r="N235" s="41">
        <f>H235+30</f>
        <v>2572</v>
      </c>
      <c r="O235" s="41"/>
      <c r="P235" s="41">
        <f>J235+30</f>
        <v>2572</v>
      </c>
      <c r="Q235" s="41">
        <f>K235+30</f>
        <v>2602</v>
      </c>
      <c r="R235" s="41">
        <f>L235+30</f>
        <v>2602</v>
      </c>
      <c r="S235" s="41">
        <f>M235+30</f>
        <v>2602</v>
      </c>
      <c r="T235" s="41">
        <f>N235+30</f>
        <v>2602</v>
      </c>
      <c r="U235" s="41"/>
      <c r="V235" s="41">
        <f>P235+30</f>
        <v>2602</v>
      </c>
      <c r="W235" s="41">
        <f>Q235+20</f>
        <v>2622</v>
      </c>
      <c r="X235" s="41">
        <f>R235+20</f>
        <v>2622</v>
      </c>
      <c r="Y235" s="41">
        <f>S235+20</f>
        <v>2622</v>
      </c>
      <c r="Z235" s="41">
        <f>T235+20</f>
        <v>2622</v>
      </c>
      <c r="AA235" s="41"/>
      <c r="AB235" s="41">
        <f>V235+20</f>
        <v>2622</v>
      </c>
      <c r="AC235" s="41">
        <f>W235+30</f>
        <v>2652</v>
      </c>
      <c r="AD235" s="41">
        <f>X235+30</f>
        <v>2652</v>
      </c>
      <c r="AE235" s="41">
        <f>Y235+30</f>
        <v>2652</v>
      </c>
      <c r="AF235" s="41">
        <f>Z235+30</f>
        <v>2652</v>
      </c>
      <c r="AG235" s="41"/>
      <c r="AH235" s="41">
        <f>AB235+30</f>
        <v>2652</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948">
    <mergeCell ref="A2:N2"/>
    <mergeCell ref="E222:H222"/>
    <mergeCell ref="K222:N222"/>
    <mergeCell ref="Q222:T222"/>
    <mergeCell ref="W222:Z222"/>
    <mergeCell ref="AC222:AF222"/>
    <mergeCell ref="B73:AH73"/>
    <mergeCell ref="B58:AH58"/>
    <mergeCell ref="B39:AH39"/>
    <mergeCell ref="A8:S8"/>
    <mergeCell ref="J217:J218"/>
    <mergeCell ref="P217:P218"/>
    <mergeCell ref="V217:V218"/>
    <mergeCell ref="AB217:AB218"/>
    <mergeCell ref="AH217:AH218"/>
    <mergeCell ref="AB215:AB216"/>
    <mergeCell ref="AH215:AH216"/>
    <mergeCell ref="D213:D214"/>
    <mergeCell ref="J213:J214"/>
    <mergeCell ref="P213:P214"/>
    <mergeCell ref="V213:V214"/>
    <mergeCell ref="AB213:AB214"/>
    <mergeCell ref="AH253:AH254"/>
    <mergeCell ref="J249:J250"/>
    <mergeCell ref="P249:P250"/>
    <mergeCell ref="V249:V250"/>
    <mergeCell ref="AB249:AB250"/>
    <mergeCell ref="AH249:AH250"/>
    <mergeCell ref="J251:J252"/>
    <mergeCell ref="P251:P252"/>
    <mergeCell ref="V251:V252"/>
    <mergeCell ref="AB251:AB252"/>
    <mergeCell ref="AH251:AH252"/>
    <mergeCell ref="J245:J246"/>
    <mergeCell ref="P245:P246"/>
    <mergeCell ref="V245:V246"/>
    <mergeCell ref="AB245:AB246"/>
    <mergeCell ref="AH245:AH246"/>
    <mergeCell ref="J247:J248"/>
    <mergeCell ref="P247:P248"/>
    <mergeCell ref="V247:V248"/>
    <mergeCell ref="AB247:AB248"/>
    <mergeCell ref="AH247:AH248"/>
    <mergeCell ref="AD245:AD246"/>
    <mergeCell ref="AE245:AE246"/>
    <mergeCell ref="AF245:AF246"/>
    <mergeCell ref="AD247:AD248"/>
    <mergeCell ref="AE247:AE248"/>
    <mergeCell ref="AF247:AF248"/>
    <mergeCell ref="AD249:AD250"/>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AD241:AD242"/>
    <mergeCell ref="AE241:AE242"/>
    <mergeCell ref="AF241:AF242"/>
    <mergeCell ref="AD243:AD244"/>
    <mergeCell ref="AE243:AE244"/>
    <mergeCell ref="AF243:AF244"/>
    <mergeCell ref="AH213:AH214"/>
    <mergeCell ref="E213:E214"/>
    <mergeCell ref="F213:F214"/>
    <mergeCell ref="D210:D211"/>
    <mergeCell ref="J210:J211"/>
    <mergeCell ref="P210:P211"/>
    <mergeCell ref="V210:V211"/>
    <mergeCell ref="AB210:AB211"/>
    <mergeCell ref="AH210:AH211"/>
    <mergeCell ref="E210:E211"/>
    <mergeCell ref="F210:F211"/>
    <mergeCell ref="G210:G211"/>
    <mergeCell ref="H210:H211"/>
    <mergeCell ref="J206:J207"/>
    <mergeCell ref="P206:P207"/>
    <mergeCell ref="V206:V207"/>
    <mergeCell ref="AB206:AB207"/>
    <mergeCell ref="AH206:AH207"/>
    <mergeCell ref="J208:J209"/>
    <mergeCell ref="P208:P209"/>
    <mergeCell ref="V208:V209"/>
    <mergeCell ref="AB208:AB209"/>
    <mergeCell ref="AH208:AH209"/>
    <mergeCell ref="K206:K207"/>
    <mergeCell ref="L206:L207"/>
    <mergeCell ref="M206:M207"/>
    <mergeCell ref="N206:N207"/>
    <mergeCell ref="K208:K209"/>
    <mergeCell ref="L208:L209"/>
    <mergeCell ref="M208:M209"/>
    <mergeCell ref="N208:N209"/>
    <mergeCell ref="K210:K211"/>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K200:K201"/>
    <mergeCell ref="L200:L201"/>
    <mergeCell ref="M200:M201"/>
    <mergeCell ref="N200:N201"/>
    <mergeCell ref="K202:K203"/>
    <mergeCell ref="L202:L203"/>
    <mergeCell ref="M202:M203"/>
    <mergeCell ref="N202:N203"/>
    <mergeCell ref="K204:K205"/>
    <mergeCell ref="L204:L205"/>
    <mergeCell ref="M204:M205"/>
    <mergeCell ref="N204:N205"/>
    <mergeCell ref="J196:J197"/>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K198:K199"/>
    <mergeCell ref="L198:L199"/>
    <mergeCell ref="M198:M199"/>
    <mergeCell ref="N198:N199"/>
    <mergeCell ref="AC196:AC197"/>
    <mergeCell ref="AD196:AD197"/>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AD185:AD186"/>
    <mergeCell ref="AE185:AE186"/>
    <mergeCell ref="AF185:AF186"/>
    <mergeCell ref="AD187:AD188"/>
    <mergeCell ref="AE187:AE188"/>
    <mergeCell ref="AF187:AF18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D179:AD180"/>
    <mergeCell ref="AE179:AE180"/>
    <mergeCell ref="AF179:AF180"/>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9:AD160"/>
    <mergeCell ref="AE159:AE160"/>
    <mergeCell ref="AF159:AF160"/>
    <mergeCell ref="AD161:AD162"/>
    <mergeCell ref="AE161:AE162"/>
    <mergeCell ref="AF161:AF162"/>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AA148:AA149"/>
    <mergeCell ref="AC148:AC149"/>
    <mergeCell ref="AD148:AD149"/>
    <mergeCell ref="AE148:AE149"/>
    <mergeCell ref="AF148:AF149"/>
    <mergeCell ref="AG148:AG149"/>
    <mergeCell ref="Y150:Y151"/>
    <mergeCell ref="Z150:Z151"/>
    <mergeCell ref="AA150:AA151"/>
    <mergeCell ref="AC150:AC151"/>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AG137:AG138"/>
    <mergeCell ref="Y139:Y140"/>
    <mergeCell ref="Z139:Z140"/>
    <mergeCell ref="AA139:AA140"/>
    <mergeCell ref="AC139:AC140"/>
    <mergeCell ref="AD139:AD140"/>
    <mergeCell ref="AE139:AE140"/>
    <mergeCell ref="AF139:AF140"/>
    <mergeCell ref="AG139:AG140"/>
    <mergeCell ref="Y141:Y142"/>
    <mergeCell ref="Z141:Z142"/>
    <mergeCell ref="AA141:AA142"/>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Y129:Y130"/>
    <mergeCell ref="Z129:Z130"/>
    <mergeCell ref="AA129:AA130"/>
    <mergeCell ref="AC129:AC130"/>
    <mergeCell ref="AD129:AD130"/>
    <mergeCell ref="AE129:AE130"/>
    <mergeCell ref="AF129:AF130"/>
    <mergeCell ref="AG129:AG130"/>
    <mergeCell ref="Y131:Y132"/>
    <mergeCell ref="Z131:Z132"/>
    <mergeCell ref="AA131:AA132"/>
    <mergeCell ref="AC131:AC132"/>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B124:AH124"/>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AD110:AD111"/>
    <mergeCell ref="AE110:AE111"/>
    <mergeCell ref="AF110:AF111"/>
    <mergeCell ref="AD112:AD113"/>
    <mergeCell ref="AE112:AE113"/>
    <mergeCell ref="AF112:AF113"/>
    <mergeCell ref="AD114:AD115"/>
    <mergeCell ref="AE114:AE115"/>
    <mergeCell ref="AF114:AF115"/>
    <mergeCell ref="AD116:AD117"/>
    <mergeCell ref="AE116:AE117"/>
    <mergeCell ref="AF116:AF117"/>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AD102:AD103"/>
    <mergeCell ref="AE102:AE103"/>
    <mergeCell ref="AF102:AF103"/>
    <mergeCell ref="AD104:AD105"/>
    <mergeCell ref="AE104:AE105"/>
    <mergeCell ref="AF104:AF105"/>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AD87:AD88"/>
    <mergeCell ref="AE87:AE88"/>
    <mergeCell ref="AF87:AF88"/>
    <mergeCell ref="AD89:AD90"/>
    <mergeCell ref="AE89:AE90"/>
    <mergeCell ref="AF89:AF90"/>
    <mergeCell ref="AD91:AD92"/>
    <mergeCell ref="AE91:AE92"/>
    <mergeCell ref="AF91:AF92"/>
    <mergeCell ref="AH78:AH79"/>
    <mergeCell ref="J83:J84"/>
    <mergeCell ref="P83:P84"/>
    <mergeCell ref="V83:V84"/>
    <mergeCell ref="AB83:AB84"/>
    <mergeCell ref="AH83:AH84"/>
    <mergeCell ref="D74:D75"/>
    <mergeCell ref="J74:J75"/>
    <mergeCell ref="P74:P75"/>
    <mergeCell ref="V74:V75"/>
    <mergeCell ref="AB74:AB75"/>
    <mergeCell ref="AH74:AH75"/>
    <mergeCell ref="Q74:Q75"/>
    <mergeCell ref="R74:R75"/>
    <mergeCell ref="S74:S75"/>
    <mergeCell ref="T74:T75"/>
    <mergeCell ref="D78:D79"/>
    <mergeCell ref="D83:D84"/>
    <mergeCell ref="E74:E75"/>
    <mergeCell ref="F74:F75"/>
    <mergeCell ref="G74:G75"/>
    <mergeCell ref="H74:H75"/>
    <mergeCell ref="K74:K75"/>
    <mergeCell ref="L74:L75"/>
    <mergeCell ref="M74:M75"/>
    <mergeCell ref="N74:N75"/>
    <mergeCell ref="W74:W75"/>
    <mergeCell ref="X74:X75"/>
    <mergeCell ref="B80:AH80"/>
    <mergeCell ref="D71:D72"/>
    <mergeCell ref="J71:J72"/>
    <mergeCell ref="P71:P72"/>
    <mergeCell ref="V71:V72"/>
    <mergeCell ref="AB71:AB72"/>
    <mergeCell ref="AH71:AH72"/>
    <mergeCell ref="Q71:Q72"/>
    <mergeCell ref="R71:R72"/>
    <mergeCell ref="S71:S72"/>
    <mergeCell ref="T71:T72"/>
    <mergeCell ref="D69:D70"/>
    <mergeCell ref="J69:J70"/>
    <mergeCell ref="P69:P70"/>
    <mergeCell ref="V69:V70"/>
    <mergeCell ref="AB69:AB70"/>
    <mergeCell ref="AH69:AH70"/>
    <mergeCell ref="Q69:Q70"/>
    <mergeCell ref="R69:R70"/>
    <mergeCell ref="S69:S70"/>
    <mergeCell ref="T69:T70"/>
    <mergeCell ref="E69:E70"/>
    <mergeCell ref="F69:F70"/>
    <mergeCell ref="G69:G70"/>
    <mergeCell ref="H69:H70"/>
    <mergeCell ref="K69:K70"/>
    <mergeCell ref="L69:L70"/>
    <mergeCell ref="M69:M70"/>
    <mergeCell ref="N69:N70"/>
    <mergeCell ref="W69:W70"/>
    <mergeCell ref="X69:X70"/>
    <mergeCell ref="Y69:Y70"/>
    <mergeCell ref="Z69:Z70"/>
    <mergeCell ref="D67:D68"/>
    <mergeCell ref="J67:J68"/>
    <mergeCell ref="P67:P68"/>
    <mergeCell ref="V67:V68"/>
    <mergeCell ref="AB67:AB68"/>
    <mergeCell ref="AH67:AH68"/>
    <mergeCell ref="Q67:Q68"/>
    <mergeCell ref="R67:R68"/>
    <mergeCell ref="S67:S68"/>
    <mergeCell ref="T67:T68"/>
    <mergeCell ref="D65:D66"/>
    <mergeCell ref="J65:J66"/>
    <mergeCell ref="P65:P66"/>
    <mergeCell ref="V65:V66"/>
    <mergeCell ref="AB65:AB66"/>
    <mergeCell ref="AH65:AH66"/>
    <mergeCell ref="Q65:Q66"/>
    <mergeCell ref="R65:R66"/>
    <mergeCell ref="S65:S66"/>
    <mergeCell ref="T65:T66"/>
    <mergeCell ref="E65:E66"/>
    <mergeCell ref="F65:F66"/>
    <mergeCell ref="G65:G66"/>
    <mergeCell ref="H65:H66"/>
    <mergeCell ref="K65:K66"/>
    <mergeCell ref="L65:L66"/>
    <mergeCell ref="M65:M66"/>
    <mergeCell ref="N65:N66"/>
    <mergeCell ref="W65:W66"/>
    <mergeCell ref="X65:X66"/>
    <mergeCell ref="Y65:Y66"/>
    <mergeCell ref="Z65:Z66"/>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L56:L57"/>
    <mergeCell ref="M56:M57"/>
    <mergeCell ref="N56:N57"/>
    <mergeCell ref="E61:E62"/>
    <mergeCell ref="F61:F62"/>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E50:E51"/>
    <mergeCell ref="F50:F51"/>
    <mergeCell ref="G50:G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S42:S43"/>
    <mergeCell ref="T42:T43"/>
    <mergeCell ref="W42:W43"/>
    <mergeCell ref="AH35:AH36"/>
    <mergeCell ref="D37:D38"/>
    <mergeCell ref="J37:J38"/>
    <mergeCell ref="O37:O38"/>
    <mergeCell ref="P37:P38"/>
    <mergeCell ref="V37:V38"/>
    <mergeCell ref="AB37:AB38"/>
    <mergeCell ref="AH37:AH38"/>
    <mergeCell ref="D35:D36"/>
    <mergeCell ref="I35:I36"/>
    <mergeCell ref="J35:J36"/>
    <mergeCell ref="O35:O36"/>
    <mergeCell ref="P35:P36"/>
    <mergeCell ref="V35:V36"/>
    <mergeCell ref="AB31:AB32"/>
    <mergeCell ref="I31:I32"/>
    <mergeCell ref="J31:J32"/>
    <mergeCell ref="O31:O32"/>
    <mergeCell ref="P31:P32"/>
    <mergeCell ref="AH31:AH32"/>
    <mergeCell ref="D33:D34"/>
    <mergeCell ref="I33:I34"/>
    <mergeCell ref="J33:J34"/>
    <mergeCell ref="O33:O34"/>
    <mergeCell ref="P33:P34"/>
    <mergeCell ref="V33:V34"/>
    <mergeCell ref="AB33:AB34"/>
    <mergeCell ref="AH33:AH34"/>
    <mergeCell ref="D31:D32"/>
    <mergeCell ref="E33:E34"/>
    <mergeCell ref="F33:F34"/>
    <mergeCell ref="G33:G34"/>
    <mergeCell ref="AH27:AH28"/>
    <mergeCell ref="D29:D30"/>
    <mergeCell ref="I29:I30"/>
    <mergeCell ref="J29:J30"/>
    <mergeCell ref="O29:O30"/>
    <mergeCell ref="P29:P30"/>
    <mergeCell ref="V29:V30"/>
    <mergeCell ref="AB29:AB30"/>
    <mergeCell ref="AB25:AB26"/>
    <mergeCell ref="AH25:AH26"/>
    <mergeCell ref="I23:I24"/>
    <mergeCell ref="AH29:AH30"/>
    <mergeCell ref="D27:D28"/>
    <mergeCell ref="I27:I28"/>
    <mergeCell ref="J27:J28"/>
    <mergeCell ref="O27:O28"/>
    <mergeCell ref="P27:P28"/>
    <mergeCell ref="V27:V28"/>
    <mergeCell ref="D25:D26"/>
    <mergeCell ref="I25:I26"/>
    <mergeCell ref="J25:J26"/>
    <mergeCell ref="O25:O26"/>
    <mergeCell ref="P25:P26"/>
    <mergeCell ref="V25:V26"/>
    <mergeCell ref="Q25:Q26"/>
    <mergeCell ref="R25:R26"/>
    <mergeCell ref="S25:S26"/>
    <mergeCell ref="T25:T26"/>
    <mergeCell ref="J23:J24"/>
    <mergeCell ref="O23:O24"/>
    <mergeCell ref="P23:P24"/>
    <mergeCell ref="V23:V24"/>
    <mergeCell ref="AH19:AH20"/>
    <mergeCell ref="AB21:AB22"/>
    <mergeCell ref="AH21:AH22"/>
    <mergeCell ref="AH23:AH24"/>
    <mergeCell ref="M19:M20"/>
    <mergeCell ref="D21:D22"/>
    <mergeCell ref="I21:I22"/>
    <mergeCell ref="J21:J22"/>
    <mergeCell ref="O21:O22"/>
    <mergeCell ref="P21:P22"/>
    <mergeCell ref="V21:V22"/>
    <mergeCell ref="M21:M22"/>
    <mergeCell ref="N21:N22"/>
    <mergeCell ref="Q21:Q22"/>
    <mergeCell ref="R21:R22"/>
    <mergeCell ref="D19:D20"/>
    <mergeCell ref="I19:I20"/>
    <mergeCell ref="J19:J20"/>
    <mergeCell ref="O19:O20"/>
    <mergeCell ref="P19:P20"/>
    <mergeCell ref="V19:V20"/>
    <mergeCell ref="D23:D24"/>
    <mergeCell ref="E19:E20"/>
    <mergeCell ref="F19:F20"/>
    <mergeCell ref="G19:G20"/>
    <mergeCell ref="H19:H20"/>
    <mergeCell ref="K19:K20"/>
    <mergeCell ref="L19:L20"/>
    <mergeCell ref="N19:N20"/>
    <mergeCell ref="Q19:Q20"/>
    <mergeCell ref="R19:R20"/>
    <mergeCell ref="AB15:AB16"/>
    <mergeCell ref="AH15:AH16"/>
    <mergeCell ref="D17:D18"/>
    <mergeCell ref="I17:I18"/>
    <mergeCell ref="J17:J18"/>
    <mergeCell ref="O17:O18"/>
    <mergeCell ref="P17:P18"/>
    <mergeCell ref="V17:V18"/>
    <mergeCell ref="AB17:AB18"/>
    <mergeCell ref="AH17:AH18"/>
    <mergeCell ref="AC10:AG10"/>
    <mergeCell ref="E11:J11"/>
    <mergeCell ref="K11:O11"/>
    <mergeCell ref="Q11:U11"/>
    <mergeCell ref="W11:AA11"/>
    <mergeCell ref="AC11:AG11"/>
    <mergeCell ref="O3:O5"/>
    <mergeCell ref="Y5:Y6"/>
    <mergeCell ref="E10:I10"/>
    <mergeCell ref="K10:P10"/>
    <mergeCell ref="Q10:V10"/>
    <mergeCell ref="W10:AA10"/>
    <mergeCell ref="N3:N5"/>
    <mergeCell ref="D15:D16"/>
    <mergeCell ref="I15:I16"/>
    <mergeCell ref="J15:J16"/>
    <mergeCell ref="E15:E16"/>
    <mergeCell ref="F15:F16"/>
    <mergeCell ref="G15:G16"/>
    <mergeCell ref="H15:H16"/>
    <mergeCell ref="K15:K16"/>
    <mergeCell ref="L15:L16"/>
    <mergeCell ref="B232:C233"/>
    <mergeCell ref="B234:C235"/>
    <mergeCell ref="C93:C94"/>
    <mergeCell ref="B95:C95"/>
    <mergeCell ref="B190:C191"/>
    <mergeCell ref="B225:C225"/>
    <mergeCell ref="B198:C199"/>
    <mergeCell ref="B131:B136"/>
    <mergeCell ref="B146:B151"/>
    <mergeCell ref="B153:B158"/>
    <mergeCell ref="A59:A72"/>
    <mergeCell ref="B71:C72"/>
    <mergeCell ref="B78:C79"/>
    <mergeCell ref="B137:B142"/>
    <mergeCell ref="A125:A151"/>
    <mergeCell ref="C187:C188"/>
    <mergeCell ref="B159:B164"/>
    <mergeCell ref="B171:B176"/>
    <mergeCell ref="B152:C152"/>
    <mergeCell ref="B125:B130"/>
    <mergeCell ref="A109:A123"/>
    <mergeCell ref="C163:C164"/>
    <mergeCell ref="A153:A188"/>
    <mergeCell ref="B165:B170"/>
    <mergeCell ref="C133:C134"/>
    <mergeCell ref="B183:B188"/>
    <mergeCell ref="B212:AH212"/>
    <mergeCell ref="B195:AH195"/>
    <mergeCell ref="B189:AH189"/>
    <mergeCell ref="D215:D216"/>
    <mergeCell ref="J215:J216"/>
    <mergeCell ref="P215:P216"/>
    <mergeCell ref="A15:A38"/>
    <mergeCell ref="B33:B38"/>
    <mergeCell ref="C33:C34"/>
    <mergeCell ref="C35:C36"/>
    <mergeCell ref="C37:C38"/>
    <mergeCell ref="B77:C77"/>
    <mergeCell ref="B76:C76"/>
    <mergeCell ref="C83:C84"/>
    <mergeCell ref="C118:C119"/>
    <mergeCell ref="B108:C108"/>
    <mergeCell ref="C120:C121"/>
    <mergeCell ref="B118:B123"/>
    <mergeCell ref="C116:C117"/>
    <mergeCell ref="C87:C88"/>
    <mergeCell ref="B102:B107"/>
    <mergeCell ref="C102:C103"/>
    <mergeCell ref="C104:C105"/>
    <mergeCell ref="C106:C107"/>
    <mergeCell ref="C100:C101"/>
    <mergeCell ref="B110:C111"/>
    <mergeCell ref="B89:B94"/>
    <mergeCell ref="B81:C81"/>
    <mergeCell ref="C89:C90"/>
    <mergeCell ref="C91:C92"/>
    <mergeCell ref="C85:C86"/>
    <mergeCell ref="B69:C70"/>
    <mergeCell ref="A40:A57"/>
    <mergeCell ref="C146:C147"/>
    <mergeCell ref="C141:C142"/>
    <mergeCell ref="C98:C99"/>
    <mergeCell ref="C131:C132"/>
    <mergeCell ref="C135:C136"/>
    <mergeCell ref="B215:C216"/>
    <mergeCell ref="B217:C218"/>
    <mergeCell ref="A196:A211"/>
    <mergeCell ref="C206:C207"/>
    <mergeCell ref="B210:C211"/>
    <mergeCell ref="C159:C160"/>
    <mergeCell ref="B202:B207"/>
    <mergeCell ref="B192:C193"/>
    <mergeCell ref="B200:C201"/>
    <mergeCell ref="C173:C174"/>
    <mergeCell ref="B228:C229"/>
    <mergeCell ref="A222:A223"/>
    <mergeCell ref="C222:C223"/>
    <mergeCell ref="A226:A235"/>
    <mergeCell ref="B230:C231"/>
    <mergeCell ref="B177:B182"/>
    <mergeCell ref="C183:C184"/>
    <mergeCell ref="C129:C130"/>
    <mergeCell ref="B143:B145"/>
    <mergeCell ref="C175:C176"/>
    <mergeCell ref="B196:C197"/>
    <mergeCell ref="C185:C186"/>
    <mergeCell ref="C179:C180"/>
    <mergeCell ref="C177:C178"/>
    <mergeCell ref="C127:C128"/>
    <mergeCell ref="C153:C154"/>
    <mergeCell ref="C112:C113"/>
    <mergeCell ref="C204:C205"/>
    <mergeCell ref="A213:A218"/>
    <mergeCell ref="B213:C214"/>
    <mergeCell ref="A82:A107"/>
    <mergeCell ref="B83:B88"/>
    <mergeCell ref="B96:B101"/>
    <mergeCell ref="C169:C170"/>
    <mergeCell ref="C155:C156"/>
    <mergeCell ref="C157:C158"/>
    <mergeCell ref="C165:C166"/>
    <mergeCell ref="C139:C140"/>
    <mergeCell ref="C148:C149"/>
    <mergeCell ref="C150:C151"/>
    <mergeCell ref="A74:A79"/>
    <mergeCell ref="B74:C75"/>
    <mergeCell ref="A190:A193"/>
    <mergeCell ref="C181:C182"/>
    <mergeCell ref="C171:C172"/>
    <mergeCell ref="C96:C97"/>
    <mergeCell ref="C122:C123"/>
    <mergeCell ref="C125:C126"/>
    <mergeCell ref="C161:C162"/>
    <mergeCell ref="C167:C168"/>
    <mergeCell ref="C137:C138"/>
    <mergeCell ref="C50:C51"/>
    <mergeCell ref="C21:C22"/>
    <mergeCell ref="C23:C24"/>
    <mergeCell ref="C31:C32"/>
    <mergeCell ref="C27:C28"/>
    <mergeCell ref="C25:C26"/>
    <mergeCell ref="C29:C30"/>
    <mergeCell ref="C10:C12"/>
    <mergeCell ref="C52:C53"/>
    <mergeCell ref="B21:B26"/>
    <mergeCell ref="B10:B12"/>
    <mergeCell ref="B15:B20"/>
    <mergeCell ref="C15:C16"/>
    <mergeCell ref="C17:C18"/>
    <mergeCell ref="B46:B51"/>
    <mergeCell ref="C19:C20"/>
    <mergeCell ref="B27:B32"/>
    <mergeCell ref="B40:B45"/>
    <mergeCell ref="C40:C41"/>
    <mergeCell ref="C42:C43"/>
    <mergeCell ref="C44:C45"/>
    <mergeCell ref="B52:B57"/>
    <mergeCell ref="C54:C55"/>
    <mergeCell ref="A3:C3"/>
    <mergeCell ref="A4:C4"/>
    <mergeCell ref="A7:C7"/>
    <mergeCell ref="A5:B5"/>
    <mergeCell ref="A6:B6"/>
    <mergeCell ref="B67:C68"/>
    <mergeCell ref="C56:C57"/>
    <mergeCell ref="B59:C60"/>
    <mergeCell ref="B61:C62"/>
    <mergeCell ref="B63:C64"/>
    <mergeCell ref="B65:C66"/>
    <mergeCell ref="B112:B117"/>
    <mergeCell ref="C114:C115"/>
    <mergeCell ref="C253:C254"/>
    <mergeCell ref="B222:B223"/>
    <mergeCell ref="C249:C250"/>
    <mergeCell ref="C239:C240"/>
    <mergeCell ref="B208:C209"/>
    <mergeCell ref="C202:C203"/>
    <mergeCell ref="B194:C194"/>
    <mergeCell ref="B226:C227"/>
    <mergeCell ref="A237:A254"/>
    <mergeCell ref="B237:B242"/>
    <mergeCell ref="C241:C242"/>
    <mergeCell ref="C243:C244"/>
    <mergeCell ref="C245:C246"/>
    <mergeCell ref="C247:C248"/>
    <mergeCell ref="B243:B248"/>
    <mergeCell ref="C251:C252"/>
    <mergeCell ref="B249:B254"/>
    <mergeCell ref="C46:C47"/>
    <mergeCell ref="C48:C49"/>
    <mergeCell ref="D161:D162"/>
    <mergeCell ref="D163:D164"/>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77:D178"/>
    <mergeCell ref="D251:D252"/>
    <mergeCell ref="D253:D254"/>
    <mergeCell ref="D192:D193"/>
    <mergeCell ref="D237:D238"/>
    <mergeCell ref="D239:D240"/>
    <mergeCell ref="D241:D242"/>
    <mergeCell ref="D243:D244"/>
    <mergeCell ref="D245:D246"/>
    <mergeCell ref="D196:D197"/>
    <mergeCell ref="D206:D207"/>
    <mergeCell ref="D198:D199"/>
    <mergeCell ref="D208:D209"/>
    <mergeCell ref="D247:D248"/>
    <mergeCell ref="D249:D250"/>
    <mergeCell ref="D179:D180"/>
    <mergeCell ref="D181:D182"/>
    <mergeCell ref="D183:D184"/>
    <mergeCell ref="D185:D186"/>
    <mergeCell ref="D187:D188"/>
    <mergeCell ref="D190:D191"/>
    <mergeCell ref="B236:AH236"/>
    <mergeCell ref="V215:V216"/>
    <mergeCell ref="K125:K126"/>
    <mergeCell ref="L125:L126"/>
    <mergeCell ref="M125:M126"/>
    <mergeCell ref="N125:N126"/>
    <mergeCell ref="O125:O126"/>
    <mergeCell ref="P125:P126"/>
    <mergeCell ref="Q125:Q126"/>
    <mergeCell ref="R125:R126"/>
    <mergeCell ref="S125:S126"/>
    <mergeCell ref="T125:T126"/>
    <mergeCell ref="U125:U126"/>
    <mergeCell ref="D165:D166"/>
    <mergeCell ref="D167:D168"/>
    <mergeCell ref="D169:D170"/>
    <mergeCell ref="D171:D172"/>
    <mergeCell ref="D173:D174"/>
    <mergeCell ref="D175:D17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AH125:AH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Y127:Y128"/>
    <mergeCell ref="Z127:Z128"/>
    <mergeCell ref="AA127:AA128"/>
    <mergeCell ref="AC127:AC128"/>
    <mergeCell ref="AD127:AD128"/>
    <mergeCell ref="AE127:AE128"/>
    <mergeCell ref="AF127:AF128"/>
    <mergeCell ref="AG127:AG128"/>
    <mergeCell ref="E125:E126"/>
    <mergeCell ref="F125:F126"/>
    <mergeCell ref="G125:G126"/>
    <mergeCell ref="H125:H126"/>
    <mergeCell ref="I125:I126"/>
    <mergeCell ref="J125:J126"/>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W129:W130"/>
    <mergeCell ref="X129:X130"/>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E131:E132"/>
    <mergeCell ref="F131:F132"/>
    <mergeCell ref="G131:G132"/>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AC141:AC142"/>
    <mergeCell ref="AD141:AD142"/>
    <mergeCell ref="AE141:AE142"/>
    <mergeCell ref="AF141:AF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AD42:AD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X42:X43"/>
    <mergeCell ref="Y42:Y43"/>
    <mergeCell ref="Z42:Z43"/>
    <mergeCell ref="AC42:AC43"/>
    <mergeCell ref="W50:W51"/>
    <mergeCell ref="X50:X51"/>
    <mergeCell ref="Y50:Y51"/>
    <mergeCell ref="Z50:Z51"/>
    <mergeCell ref="AC50:AC51"/>
    <mergeCell ref="AB50:AB51"/>
    <mergeCell ref="AD50:AD51"/>
    <mergeCell ref="AE50:AE51"/>
    <mergeCell ref="AD46:AD47"/>
    <mergeCell ref="AE46:AE47"/>
    <mergeCell ref="AF46:AF47"/>
    <mergeCell ref="E48:E49"/>
    <mergeCell ref="F48:F49"/>
    <mergeCell ref="G48:G49"/>
    <mergeCell ref="H48:H49"/>
    <mergeCell ref="K48:K49"/>
    <mergeCell ref="L48:L49"/>
    <mergeCell ref="M48:M49"/>
    <mergeCell ref="R48:R49"/>
    <mergeCell ref="S48:S49"/>
    <mergeCell ref="T48:T49"/>
    <mergeCell ref="W48:W49"/>
    <mergeCell ref="X48:X49"/>
    <mergeCell ref="Y48:Y49"/>
    <mergeCell ref="Z48:Z49"/>
    <mergeCell ref="AC48:AC49"/>
    <mergeCell ref="AD48:AD49"/>
    <mergeCell ref="AE48:AE49"/>
    <mergeCell ref="AF48:AF49"/>
    <mergeCell ref="E46:E47"/>
    <mergeCell ref="F46:F47"/>
    <mergeCell ref="G46:G47"/>
    <mergeCell ref="Z54:Z55"/>
    <mergeCell ref="AC54:AC55"/>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H50:H51"/>
    <mergeCell ref="K50:K51"/>
    <mergeCell ref="L50:L51"/>
    <mergeCell ref="M50:M51"/>
    <mergeCell ref="N50:N51"/>
    <mergeCell ref="Q50:Q51"/>
    <mergeCell ref="R50:R51"/>
    <mergeCell ref="S50:S51"/>
    <mergeCell ref="T50:T51"/>
    <mergeCell ref="O15:O16"/>
    <mergeCell ref="P15:P16"/>
    <mergeCell ref="U15:U16"/>
    <mergeCell ref="W15:W16"/>
    <mergeCell ref="X15:X16"/>
    <mergeCell ref="Y15:Y16"/>
    <mergeCell ref="Z15:Z16"/>
    <mergeCell ref="AA15:AA16"/>
    <mergeCell ref="V15:V16"/>
    <mergeCell ref="AC15:AC16"/>
    <mergeCell ref="AD15:AD16"/>
    <mergeCell ref="AD54:AD55"/>
    <mergeCell ref="AE54:AE55"/>
    <mergeCell ref="AF54:AF55"/>
    <mergeCell ref="E56:E57"/>
    <mergeCell ref="F56:F57"/>
    <mergeCell ref="G56:G57"/>
    <mergeCell ref="H56:H57"/>
    <mergeCell ref="K56:K57"/>
    <mergeCell ref="Q56:Q57"/>
    <mergeCell ref="R56:R57"/>
    <mergeCell ref="S56:S57"/>
    <mergeCell ref="T56:T57"/>
    <mergeCell ref="W56:W57"/>
    <mergeCell ref="X56:X57"/>
    <mergeCell ref="Y56:Y57"/>
    <mergeCell ref="Z56:Z57"/>
    <mergeCell ref="AC56:AC57"/>
    <mergeCell ref="AD56:AD57"/>
    <mergeCell ref="AE56:AE57"/>
    <mergeCell ref="AF56:AF57"/>
    <mergeCell ref="E54:E55"/>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M15:M16"/>
    <mergeCell ref="N15:N16"/>
    <mergeCell ref="Q15:Q16"/>
    <mergeCell ref="R15:R16"/>
    <mergeCell ref="S15:S16"/>
    <mergeCell ref="T15:T16"/>
    <mergeCell ref="S19:S20"/>
    <mergeCell ref="T19:T20"/>
    <mergeCell ref="U19:U20"/>
    <mergeCell ref="W19:W20"/>
    <mergeCell ref="X19:X20"/>
    <mergeCell ref="Y19:Y20"/>
    <mergeCell ref="Z19:Z20"/>
    <mergeCell ref="AA19:AA20"/>
    <mergeCell ref="AC19:AC20"/>
    <mergeCell ref="AB19:AB20"/>
    <mergeCell ref="AD19:AD20"/>
    <mergeCell ref="AE19:AE20"/>
    <mergeCell ref="AF19:AF20"/>
    <mergeCell ref="AG19:AG20"/>
    <mergeCell ref="E21:E22"/>
    <mergeCell ref="F21:F22"/>
    <mergeCell ref="G21:G22"/>
    <mergeCell ref="H21:H22"/>
    <mergeCell ref="K21:K22"/>
    <mergeCell ref="L21:L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A23:AA24"/>
    <mergeCell ref="AC23:AC24"/>
    <mergeCell ref="AD23:AD24"/>
    <mergeCell ref="AE23:AE24"/>
    <mergeCell ref="AF23:AF24"/>
    <mergeCell ref="AG23:AG24"/>
    <mergeCell ref="AB23:AB24"/>
    <mergeCell ref="AE27:AE28"/>
    <mergeCell ref="AF27:AF28"/>
    <mergeCell ref="AG27:AG28"/>
    <mergeCell ref="AB27:AB28"/>
    <mergeCell ref="E25:E26"/>
    <mergeCell ref="F25:F26"/>
    <mergeCell ref="G25:G26"/>
    <mergeCell ref="H25:H26"/>
    <mergeCell ref="K25:K26"/>
    <mergeCell ref="L25:L26"/>
    <mergeCell ref="M25:M26"/>
    <mergeCell ref="N25:N26"/>
    <mergeCell ref="U25:U26"/>
    <mergeCell ref="W25:W26"/>
    <mergeCell ref="X25:X26"/>
    <mergeCell ref="Y25:Y26"/>
    <mergeCell ref="Z25:Z26"/>
    <mergeCell ref="AA25:AA26"/>
    <mergeCell ref="AC25:AC26"/>
    <mergeCell ref="AD25:AD26"/>
    <mergeCell ref="AE25:AE26"/>
    <mergeCell ref="N29:N30"/>
    <mergeCell ref="Q29:Q30"/>
    <mergeCell ref="R29:R30"/>
    <mergeCell ref="S29:S30"/>
    <mergeCell ref="T29:T30"/>
    <mergeCell ref="U29:U30"/>
    <mergeCell ref="W29:W30"/>
    <mergeCell ref="X29:X30"/>
    <mergeCell ref="Y29:Y30"/>
    <mergeCell ref="Z29:Z30"/>
    <mergeCell ref="AF25:AF26"/>
    <mergeCell ref="AG25:AG26"/>
    <mergeCell ref="E27:E28"/>
    <mergeCell ref="F27:F28"/>
    <mergeCell ref="G27:G28"/>
    <mergeCell ref="H27:H28"/>
    <mergeCell ref="K27:K28"/>
    <mergeCell ref="L27:L28"/>
    <mergeCell ref="M27:M28"/>
    <mergeCell ref="N27:N28"/>
    <mergeCell ref="Q27:Q28"/>
    <mergeCell ref="R27:R28"/>
    <mergeCell ref="S27:S28"/>
    <mergeCell ref="T27:T28"/>
    <mergeCell ref="U27:U28"/>
    <mergeCell ref="W27:W28"/>
    <mergeCell ref="X27:X28"/>
    <mergeCell ref="Y27:Y28"/>
    <mergeCell ref="Z27:Z28"/>
    <mergeCell ref="AA27:AA28"/>
    <mergeCell ref="AC27:AC28"/>
    <mergeCell ref="AD27:AD28"/>
    <mergeCell ref="AG29:AG30"/>
    <mergeCell ref="E31:E32"/>
    <mergeCell ref="F31:F32"/>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V31:V32"/>
    <mergeCell ref="AA31:AA32"/>
    <mergeCell ref="AC31:AC32"/>
    <mergeCell ref="AD31:AD32"/>
    <mergeCell ref="AE31:AE32"/>
    <mergeCell ref="AF31:AF32"/>
    <mergeCell ref="AG31:AG32"/>
    <mergeCell ref="E29:E30"/>
    <mergeCell ref="F29:F30"/>
    <mergeCell ref="G29:G30"/>
    <mergeCell ref="H29:H30"/>
    <mergeCell ref="K29:K30"/>
    <mergeCell ref="L29:L30"/>
    <mergeCell ref="M29:M30"/>
    <mergeCell ref="Q33:Q34"/>
    <mergeCell ref="R33:R34"/>
    <mergeCell ref="S33:S34"/>
    <mergeCell ref="T33:T34"/>
    <mergeCell ref="U33:U34"/>
    <mergeCell ref="W33:W34"/>
    <mergeCell ref="X33:X34"/>
    <mergeCell ref="Y33:Y34"/>
    <mergeCell ref="Z33:Z34"/>
    <mergeCell ref="AA33:AA34"/>
    <mergeCell ref="AC33:AC34"/>
    <mergeCell ref="AD33:AD34"/>
    <mergeCell ref="AA29:AA30"/>
    <mergeCell ref="AC29:AC30"/>
    <mergeCell ref="AD29:AD30"/>
    <mergeCell ref="AE29:AE30"/>
    <mergeCell ref="AF29:AF30"/>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AA35:AA36"/>
    <mergeCell ref="AC35:AC36"/>
    <mergeCell ref="AD35:AD36"/>
    <mergeCell ref="AE35:AE36"/>
    <mergeCell ref="AF35:AF36"/>
    <mergeCell ref="AG35:AG36"/>
    <mergeCell ref="AB35:AB36"/>
    <mergeCell ref="H33:H34"/>
    <mergeCell ref="K33:K34"/>
    <mergeCell ref="L33:L34"/>
    <mergeCell ref="M33:M34"/>
    <mergeCell ref="N33:N34"/>
    <mergeCell ref="AF59:AF60"/>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F54:F55"/>
    <mergeCell ref="G54:G55"/>
    <mergeCell ref="H54:H55"/>
    <mergeCell ref="K54:K55"/>
    <mergeCell ref="L54:L55"/>
    <mergeCell ref="M54:M55"/>
    <mergeCell ref="N54:N55"/>
    <mergeCell ref="Q54:Q55"/>
    <mergeCell ref="R54:R55"/>
    <mergeCell ref="S54:S55"/>
    <mergeCell ref="T54:T55"/>
    <mergeCell ref="W54:W55"/>
    <mergeCell ref="X54:X55"/>
    <mergeCell ref="Y54:Y55"/>
    <mergeCell ref="X61:X62"/>
    <mergeCell ref="Y61:Y62"/>
    <mergeCell ref="Z61:Z62"/>
    <mergeCell ref="AC61:AC62"/>
    <mergeCell ref="AD61:AD62"/>
    <mergeCell ref="AE61:AE62"/>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G61:G62"/>
    <mergeCell ref="H61:H62"/>
    <mergeCell ref="K61:K62"/>
    <mergeCell ref="L61:L62"/>
    <mergeCell ref="M61:M62"/>
    <mergeCell ref="N61:N62"/>
    <mergeCell ref="Q61:Q62"/>
    <mergeCell ref="R61:R62"/>
    <mergeCell ref="S61:S62"/>
    <mergeCell ref="T61:T62"/>
    <mergeCell ref="W61:W62"/>
    <mergeCell ref="AC65:AC66"/>
    <mergeCell ref="AD65:AD66"/>
    <mergeCell ref="AE65:AE66"/>
    <mergeCell ref="AF65:AF66"/>
    <mergeCell ref="E67:E68"/>
    <mergeCell ref="F67:F68"/>
    <mergeCell ref="G67:G68"/>
    <mergeCell ref="H67:H68"/>
    <mergeCell ref="K67:K68"/>
    <mergeCell ref="L67:L68"/>
    <mergeCell ref="M67:M68"/>
    <mergeCell ref="N67:N68"/>
    <mergeCell ref="W67:W68"/>
    <mergeCell ref="X67:X68"/>
    <mergeCell ref="Y67:Y68"/>
    <mergeCell ref="Z67:Z68"/>
    <mergeCell ref="AC67:AC68"/>
    <mergeCell ref="AD67:AD68"/>
    <mergeCell ref="AE67:AE68"/>
    <mergeCell ref="AF67:AF68"/>
    <mergeCell ref="AE78:AE79"/>
    <mergeCell ref="AF78:AF79"/>
    <mergeCell ref="AC69:AC70"/>
    <mergeCell ref="AD69:AD70"/>
    <mergeCell ref="AE69:AE70"/>
    <mergeCell ref="AF69:AF70"/>
    <mergeCell ref="E71:E72"/>
    <mergeCell ref="F71:F72"/>
    <mergeCell ref="G71:G72"/>
    <mergeCell ref="H71:H72"/>
    <mergeCell ref="K71:K72"/>
    <mergeCell ref="L71:L72"/>
    <mergeCell ref="M71:M72"/>
    <mergeCell ref="N71:N72"/>
    <mergeCell ref="W71:W72"/>
    <mergeCell ref="X71:X72"/>
    <mergeCell ref="Y71:Y72"/>
    <mergeCell ref="Z71:Z72"/>
    <mergeCell ref="AC71:AC72"/>
    <mergeCell ref="AD71:AD72"/>
    <mergeCell ref="AE71:AE72"/>
    <mergeCell ref="AF71:AF72"/>
    <mergeCell ref="J78:J79"/>
    <mergeCell ref="P78:P79"/>
    <mergeCell ref="V78:V79"/>
    <mergeCell ref="AB78:AB79"/>
    <mergeCell ref="R83:R84"/>
    <mergeCell ref="S83:S84"/>
    <mergeCell ref="T83:T84"/>
    <mergeCell ref="W83:W84"/>
    <mergeCell ref="X83:X84"/>
    <mergeCell ref="Y83:Y84"/>
    <mergeCell ref="Z83:Z84"/>
    <mergeCell ref="AC83:AC84"/>
    <mergeCell ref="Y74:Y75"/>
    <mergeCell ref="Z74:Z75"/>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D83:AD84"/>
    <mergeCell ref="AE83:AE84"/>
    <mergeCell ref="AF83:AF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AD85:AD86"/>
    <mergeCell ref="AE85:AE86"/>
    <mergeCell ref="AF85:AF86"/>
    <mergeCell ref="E83:E84"/>
    <mergeCell ref="F83:F84"/>
    <mergeCell ref="G83:G84"/>
    <mergeCell ref="H83:H84"/>
    <mergeCell ref="K83:K84"/>
    <mergeCell ref="L83:L84"/>
    <mergeCell ref="M83:M84"/>
    <mergeCell ref="N83:N84"/>
    <mergeCell ref="Q83:Q84"/>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89:E90"/>
    <mergeCell ref="F89:F90"/>
    <mergeCell ref="G89:G90"/>
    <mergeCell ref="H89:H90"/>
    <mergeCell ref="K89:K90"/>
    <mergeCell ref="L89:L90"/>
    <mergeCell ref="M89:M90"/>
    <mergeCell ref="N89:N90"/>
    <mergeCell ref="Q89:Q90"/>
    <mergeCell ref="R89:R90"/>
    <mergeCell ref="S89:S90"/>
    <mergeCell ref="T89:T90"/>
    <mergeCell ref="W89:W90"/>
    <mergeCell ref="X89:X90"/>
    <mergeCell ref="Y89:Y90"/>
    <mergeCell ref="Z89:Z90"/>
    <mergeCell ref="AC89:AC90"/>
    <mergeCell ref="J89:J90"/>
    <mergeCell ref="P89:P90"/>
    <mergeCell ref="V89:V90"/>
    <mergeCell ref="AB89:AB90"/>
    <mergeCell ref="AF96:AF97"/>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R98:R99"/>
    <mergeCell ref="S98:S99"/>
    <mergeCell ref="T98:T99"/>
    <mergeCell ref="W98:W99"/>
    <mergeCell ref="X98:X99"/>
    <mergeCell ref="Y98:Y99"/>
    <mergeCell ref="Z98:Z99"/>
    <mergeCell ref="AC98:AC99"/>
    <mergeCell ref="W93:W94"/>
    <mergeCell ref="X93:X94"/>
    <mergeCell ref="Y93:Y94"/>
    <mergeCell ref="Z93:Z94"/>
    <mergeCell ref="AC93:AC94"/>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AD100:AD101"/>
    <mergeCell ref="AE100:AE101"/>
    <mergeCell ref="AF100:AF101"/>
    <mergeCell ref="E98:E99"/>
    <mergeCell ref="F98:F99"/>
    <mergeCell ref="G98:G99"/>
    <mergeCell ref="H98:H99"/>
    <mergeCell ref="K98:K99"/>
    <mergeCell ref="L98:L99"/>
    <mergeCell ref="M98:M99"/>
    <mergeCell ref="N98:N99"/>
    <mergeCell ref="Q98:Q99"/>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J104:J105"/>
    <mergeCell ref="P104:P105"/>
    <mergeCell ref="V104:V105"/>
    <mergeCell ref="AB104:AB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J114:J115"/>
    <mergeCell ref="P114:P115"/>
    <mergeCell ref="V114:V115"/>
    <mergeCell ref="AB114:AB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AE118:AE119"/>
    <mergeCell ref="AF118:AF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0:AD121"/>
    <mergeCell ref="AE120:AE121"/>
    <mergeCell ref="AF120:AF121"/>
    <mergeCell ref="E118:E119"/>
    <mergeCell ref="F118:F119"/>
    <mergeCell ref="G118:G119"/>
    <mergeCell ref="H118:H119"/>
    <mergeCell ref="K118:K119"/>
    <mergeCell ref="L118:L119"/>
    <mergeCell ref="M118:M119"/>
    <mergeCell ref="N118:N119"/>
    <mergeCell ref="Q118:Q119"/>
    <mergeCell ref="R118:R119"/>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AD118:AD119"/>
    <mergeCell ref="S118:S119"/>
    <mergeCell ref="T118:T119"/>
    <mergeCell ref="W118:W119"/>
    <mergeCell ref="X118:X119"/>
    <mergeCell ref="Y118:Y119"/>
    <mergeCell ref="Z118:Z119"/>
    <mergeCell ref="AC118:AC119"/>
    <mergeCell ref="J122:J123"/>
    <mergeCell ref="P122:P123"/>
    <mergeCell ref="V122:V123"/>
    <mergeCell ref="AB122:AB123"/>
    <mergeCell ref="R155:R156"/>
    <mergeCell ref="S155:S156"/>
    <mergeCell ref="T155:T156"/>
    <mergeCell ref="W155:W156"/>
    <mergeCell ref="X155:X156"/>
    <mergeCell ref="Y155:Y156"/>
    <mergeCell ref="Z155:Z156"/>
    <mergeCell ref="AC155:AC156"/>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AD155:AD156"/>
    <mergeCell ref="AE155:AE156"/>
    <mergeCell ref="AF155:AF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AD157:AD158"/>
    <mergeCell ref="AE157:AE158"/>
    <mergeCell ref="AF157:AF158"/>
    <mergeCell ref="E155:E156"/>
    <mergeCell ref="F155:F156"/>
    <mergeCell ref="G155:G156"/>
    <mergeCell ref="H155:H156"/>
    <mergeCell ref="K155:K156"/>
    <mergeCell ref="L155:L156"/>
    <mergeCell ref="M155:M156"/>
    <mergeCell ref="N155:N156"/>
    <mergeCell ref="Q155:Q156"/>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P177:P178"/>
    <mergeCell ref="V177:V178"/>
    <mergeCell ref="AB177:AB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J185:J186"/>
    <mergeCell ref="P185:P186"/>
    <mergeCell ref="V185:V186"/>
    <mergeCell ref="AB185:AB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J241:J242"/>
    <mergeCell ref="P241:P242"/>
    <mergeCell ref="V241:V242"/>
    <mergeCell ref="AB241:AB242"/>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S249:S250"/>
    <mergeCell ref="T249:T250"/>
    <mergeCell ref="W249:W250"/>
    <mergeCell ref="X249:X250"/>
    <mergeCell ref="Y249:Y250"/>
    <mergeCell ref="Z249:Z250"/>
    <mergeCell ref="AC249:AC250"/>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E249:E250"/>
    <mergeCell ref="F249:F250"/>
    <mergeCell ref="G249:G250"/>
    <mergeCell ref="H249:H250"/>
    <mergeCell ref="K249:K250"/>
    <mergeCell ref="L249:L250"/>
    <mergeCell ref="M249:M250"/>
    <mergeCell ref="N249:N250"/>
    <mergeCell ref="Q249:Q250"/>
    <mergeCell ref="R249:R250"/>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J253:J254"/>
    <mergeCell ref="P253:P254"/>
    <mergeCell ref="V253:V254"/>
    <mergeCell ref="AB253:AB254"/>
    <mergeCell ref="AD253:AD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E202:E203"/>
    <mergeCell ref="F202:F203"/>
    <mergeCell ref="G202:G203"/>
    <mergeCell ref="H202:H203"/>
    <mergeCell ref="H204:H205"/>
    <mergeCell ref="E206:E207"/>
    <mergeCell ref="F206:F207"/>
    <mergeCell ref="G206:G207"/>
    <mergeCell ref="H206:H207"/>
    <mergeCell ref="E208:E209"/>
    <mergeCell ref="F208:F209"/>
    <mergeCell ref="G208:G209"/>
    <mergeCell ref="H208:H209"/>
    <mergeCell ref="K196:K197"/>
    <mergeCell ref="L196:L197"/>
    <mergeCell ref="M196:M197"/>
    <mergeCell ref="N196:N197"/>
    <mergeCell ref="L210:L211"/>
    <mergeCell ref="M210:M211"/>
    <mergeCell ref="N210:N211"/>
    <mergeCell ref="Q196:Q197"/>
    <mergeCell ref="R196:R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T210:T211"/>
    <mergeCell ref="W196:W197"/>
    <mergeCell ref="X196:X197"/>
    <mergeCell ref="Y196:Y197"/>
    <mergeCell ref="Z196:Z197"/>
    <mergeCell ref="W198:W199"/>
    <mergeCell ref="X198:X199"/>
    <mergeCell ref="Y198:Y199"/>
    <mergeCell ref="Z198:Z199"/>
    <mergeCell ref="Y206:Y207"/>
    <mergeCell ref="Z206:Z207"/>
    <mergeCell ref="W200:W201"/>
    <mergeCell ref="X200:X201"/>
    <mergeCell ref="Y200:Y201"/>
    <mergeCell ref="Z200:Z201"/>
    <mergeCell ref="W202:W203"/>
    <mergeCell ref="X202:X203"/>
    <mergeCell ref="Y202:Y203"/>
    <mergeCell ref="Z202:Z203"/>
    <mergeCell ref="W210:W211"/>
    <mergeCell ref="X210:X211"/>
    <mergeCell ref="Y210:Y211"/>
    <mergeCell ref="Z210:Z211"/>
    <mergeCell ref="W204:W205"/>
    <mergeCell ref="X204:X205"/>
    <mergeCell ref="Y204:Y205"/>
    <mergeCell ref="Z204:Z205"/>
    <mergeCell ref="W206:W207"/>
    <mergeCell ref="X206:X20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E208:AE209"/>
    <mergeCell ref="AF208:AF209"/>
    <mergeCell ref="AC210:AC211"/>
    <mergeCell ref="AD210:AD211"/>
    <mergeCell ref="AE210:AE211"/>
    <mergeCell ref="AF210:AF211"/>
    <mergeCell ref="E215:E216"/>
    <mergeCell ref="F215:F216"/>
    <mergeCell ref="G215:G216"/>
    <mergeCell ref="H215:H216"/>
    <mergeCell ref="AC208:AC209"/>
    <mergeCell ref="AD208:AD209"/>
    <mergeCell ref="W208:W209"/>
    <mergeCell ref="X208:X209"/>
    <mergeCell ref="Y208:Y209"/>
    <mergeCell ref="Z208:Z209"/>
    <mergeCell ref="Q213:Q214"/>
    <mergeCell ref="R213:R214"/>
    <mergeCell ref="S213:S214"/>
    <mergeCell ref="T213:T214"/>
    <mergeCell ref="Q215:Q216"/>
    <mergeCell ref="R215:R216"/>
    <mergeCell ref="S215:S216"/>
    <mergeCell ref="T215:T216"/>
    <mergeCell ref="AF213:AF214"/>
    <mergeCell ref="AF215:AF216"/>
    <mergeCell ref="R210:R211"/>
    <mergeCell ref="S210:S211"/>
    <mergeCell ref="E217:E218"/>
    <mergeCell ref="F217:F218"/>
    <mergeCell ref="G217:G218"/>
    <mergeCell ref="H217:H218"/>
    <mergeCell ref="K213:K214"/>
    <mergeCell ref="L213:L214"/>
    <mergeCell ref="K217:K218"/>
    <mergeCell ref="L217:L218"/>
    <mergeCell ref="G213:G214"/>
    <mergeCell ref="H213:H214"/>
    <mergeCell ref="M213:M214"/>
    <mergeCell ref="N213:N214"/>
    <mergeCell ref="K215:K216"/>
    <mergeCell ref="L215:L216"/>
    <mergeCell ref="M215:M216"/>
    <mergeCell ref="N215:N216"/>
    <mergeCell ref="M217:M218"/>
    <mergeCell ref="N217:N218"/>
    <mergeCell ref="AF217:AF218"/>
    <mergeCell ref="Y217:Y218"/>
    <mergeCell ref="Z217:Z218"/>
    <mergeCell ref="Q217:Q218"/>
    <mergeCell ref="R217:R218"/>
    <mergeCell ref="S217:S218"/>
    <mergeCell ref="T217:T218"/>
    <mergeCell ref="W213:W214"/>
    <mergeCell ref="X213:X214"/>
    <mergeCell ref="W217:W218"/>
    <mergeCell ref="X217:X218"/>
    <mergeCell ref="Y213:Y214"/>
    <mergeCell ref="Z213:Z214"/>
    <mergeCell ref="W215:W216"/>
    <mergeCell ref="X215:X216"/>
    <mergeCell ref="Y215:Y216"/>
    <mergeCell ref="Z215:Z216"/>
    <mergeCell ref="AC213:AC214"/>
    <mergeCell ref="AD213:AD214"/>
    <mergeCell ref="AE213:AE214"/>
    <mergeCell ref="AC215:AC216"/>
    <mergeCell ref="AD215:AD216"/>
    <mergeCell ref="AE215:AE216"/>
    <mergeCell ref="AC217:AC218"/>
    <mergeCell ref="AD217:AD218"/>
    <mergeCell ref="AE217:AE218"/>
  </mergeCells>
  <pageMargins left="0.34" right="0.27" top="0.32" bottom="0.34" header="0.19" footer="0.2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B7525-B674-4E5E-B26B-8F401D95F3FF}">
  <sheetPr>
    <pageSetUpPr fitToPage="1"/>
  </sheetPr>
  <dimension ref="A1:AH256"/>
  <sheetViews>
    <sheetView topLeftCell="A4" zoomScale="90" zoomScaleNormal="90" workbookViewId="0">
      <pane ySplit="9" topLeftCell="A235" activePane="bottomLeft" state="frozen"/>
      <selection activeCell="B67" sqref="B67:C68"/>
      <selection pane="bottomLeft" activeCell="E231" sqref="E231:AH231"/>
    </sheetView>
  </sheetViews>
  <sheetFormatPr defaultColWidth="9.109375" defaultRowHeight="10.199999999999999" x14ac:dyDescent="0.2"/>
  <cols>
    <col min="1" max="1" width="5.6640625" style="11" customWidth="1"/>
    <col min="2" max="2" width="35.77734375" style="11" customWidth="1"/>
    <col min="3" max="3" width="6.44140625" style="11" customWidth="1"/>
    <col min="4" max="4" width="4.44140625"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96"/>
      <c r="J2" s="37"/>
      <c r="N2" s="217"/>
      <c r="O2" s="218"/>
    </row>
    <row r="3" spans="1:34" x14ac:dyDescent="0.2">
      <c r="A3" s="297" t="s">
        <v>50</v>
      </c>
      <c r="B3" s="297"/>
      <c r="C3" s="297"/>
      <c r="D3" s="12"/>
      <c r="F3" s="37"/>
      <c r="J3" s="37"/>
      <c r="N3" s="546"/>
      <c r="O3" s="547"/>
    </row>
    <row r="4" spans="1:34" ht="17.399999999999999" customHeight="1" x14ac:dyDescent="0.2">
      <c r="A4" s="297" t="s">
        <v>68</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175</v>
      </c>
      <c r="B8" s="268"/>
      <c r="C8" s="268"/>
      <c r="D8" s="326"/>
      <c r="E8" s="326"/>
      <c r="F8" s="326"/>
      <c r="G8" s="326"/>
      <c r="H8" s="326"/>
      <c r="I8" s="326"/>
      <c r="J8" s="326"/>
      <c r="K8" s="326"/>
      <c r="L8" s="326"/>
      <c r="M8" s="326"/>
      <c r="N8" s="326"/>
      <c r="O8" s="326"/>
      <c r="P8" s="326"/>
      <c r="Q8" s="326"/>
      <c r="R8" s="326"/>
      <c r="S8" s="326"/>
      <c r="T8" s="326"/>
      <c r="U8" s="326"/>
      <c r="V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ht="15" customHeight="1"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0.8"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0.8"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0.8"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0.8"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91"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91"/>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91"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91"/>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91"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91"/>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91"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91"/>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91"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91"/>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91"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91"/>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273"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273"/>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273"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273"/>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273"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273"/>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274" t="s">
        <v>20</v>
      </c>
      <c r="C81" s="307"/>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2"/>
    </row>
    <row r="82" spans="1:34" ht="27.75" customHeight="1" x14ac:dyDescent="0.2">
      <c r="A82" s="289"/>
      <c r="B82" s="33" t="s">
        <v>95</v>
      </c>
      <c r="C82" s="34"/>
      <c r="D82" s="24" t="s">
        <v>135</v>
      </c>
      <c r="E82" s="35">
        <v>2</v>
      </c>
      <c r="F82" s="35">
        <v>2</v>
      </c>
      <c r="G82" s="35">
        <v>2</v>
      </c>
      <c r="H82" s="35">
        <v>2</v>
      </c>
      <c r="I82" s="35"/>
      <c r="J82" s="35">
        <v>8</v>
      </c>
      <c r="K82" s="35">
        <v>2</v>
      </c>
      <c r="L82" s="35">
        <v>2</v>
      </c>
      <c r="M82" s="35">
        <v>2</v>
      </c>
      <c r="N82" s="35">
        <v>2</v>
      </c>
      <c r="O82" s="36"/>
      <c r="P82" s="35">
        <v>8</v>
      </c>
      <c r="Q82" s="35">
        <v>2</v>
      </c>
      <c r="R82" s="35">
        <v>2</v>
      </c>
      <c r="S82" s="35">
        <v>2</v>
      </c>
      <c r="T82" s="35">
        <v>2</v>
      </c>
      <c r="U82" s="35"/>
      <c r="V82" s="35">
        <v>8</v>
      </c>
      <c r="W82" s="35">
        <v>2</v>
      </c>
      <c r="X82" s="35">
        <v>2</v>
      </c>
      <c r="Y82" s="35">
        <v>2</v>
      </c>
      <c r="Z82" s="35">
        <v>2</v>
      </c>
      <c r="AA82" s="36"/>
      <c r="AB82" s="35">
        <v>8</v>
      </c>
      <c r="AC82" s="35">
        <v>2</v>
      </c>
      <c r="AD82" s="35">
        <v>2</v>
      </c>
      <c r="AE82" s="35">
        <v>2</v>
      </c>
      <c r="AF82" s="35">
        <v>2</v>
      </c>
      <c r="AG82" s="35"/>
      <c r="AH82" s="35">
        <v>8</v>
      </c>
    </row>
    <row r="83" spans="1:34"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162">
        <v>8</v>
      </c>
      <c r="F95" s="162">
        <v>8</v>
      </c>
      <c r="G95" s="162">
        <v>8</v>
      </c>
      <c r="H95" s="162">
        <v>11</v>
      </c>
      <c r="I95" s="35"/>
      <c r="J95" s="35">
        <v>35</v>
      </c>
      <c r="K95" s="35">
        <v>8</v>
      </c>
      <c r="L95" s="35">
        <v>8</v>
      </c>
      <c r="M95" s="35">
        <v>8</v>
      </c>
      <c r="N95" s="35">
        <v>11</v>
      </c>
      <c r="O95" s="35"/>
      <c r="P95" s="35">
        <v>35</v>
      </c>
      <c r="Q95" s="162">
        <v>8</v>
      </c>
      <c r="R95" s="162">
        <v>8</v>
      </c>
      <c r="S95" s="162">
        <v>8</v>
      </c>
      <c r="T95" s="162">
        <v>11</v>
      </c>
      <c r="U95" s="35"/>
      <c r="V95" s="35">
        <v>35</v>
      </c>
      <c r="W95" s="162">
        <v>8</v>
      </c>
      <c r="X95" s="162">
        <v>8</v>
      </c>
      <c r="Y95" s="162">
        <v>8</v>
      </c>
      <c r="Z95" s="162">
        <v>11</v>
      </c>
      <c r="AA95" s="162"/>
      <c r="AB95" s="35">
        <v>35</v>
      </c>
      <c r="AC95" s="162">
        <v>8</v>
      </c>
      <c r="AD95" s="162">
        <v>8</v>
      </c>
      <c r="AE95" s="162">
        <v>8</v>
      </c>
      <c r="AF95" s="162">
        <v>11</v>
      </c>
      <c r="AG95" s="35"/>
      <c r="AH95" s="35">
        <v>35</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09"/>
      <c r="B109" s="49" t="s">
        <v>23</v>
      </c>
      <c r="C109" s="49"/>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509"/>
      <c r="B110" s="549"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09"/>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09"/>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09"/>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09"/>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09"/>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09"/>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09"/>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09"/>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09"/>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09"/>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09"/>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10"/>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187">
        <v>5.0000000000000001E-3</v>
      </c>
      <c r="F125" s="187">
        <v>5.0000000000000001E-3</v>
      </c>
      <c r="G125" s="187">
        <v>5.0000000000000001E-3</v>
      </c>
      <c r="H125" s="187">
        <v>5.0000000000000001E-3</v>
      </c>
      <c r="I125" s="188"/>
      <c r="J125" s="187">
        <v>5.0000000000000001E-3</v>
      </c>
      <c r="K125" s="187">
        <v>5.0000000000000001E-3</v>
      </c>
      <c r="L125" s="187">
        <v>5.0000000000000001E-3</v>
      </c>
      <c r="M125" s="187">
        <v>5.0000000000000001E-3</v>
      </c>
      <c r="N125" s="187">
        <v>5.0000000000000001E-3</v>
      </c>
      <c r="O125" s="188"/>
      <c r="P125" s="187">
        <v>5.0000000000000001E-3</v>
      </c>
      <c r="Q125" s="187">
        <v>5.0000000000000001E-3</v>
      </c>
      <c r="R125" s="187">
        <v>5.0000000000000001E-3</v>
      </c>
      <c r="S125" s="187">
        <v>5.0000000000000001E-3</v>
      </c>
      <c r="T125" s="187">
        <v>5.0000000000000001E-3</v>
      </c>
      <c r="U125" s="188"/>
      <c r="V125" s="187">
        <v>5.0000000000000001E-3</v>
      </c>
      <c r="W125" s="187">
        <v>5.0000000000000001E-3</v>
      </c>
      <c r="X125" s="187">
        <v>5.0000000000000001E-3</v>
      </c>
      <c r="Y125" s="187">
        <v>5.0000000000000001E-3</v>
      </c>
      <c r="Z125" s="187">
        <v>5.0000000000000001E-3</v>
      </c>
      <c r="AA125" s="188"/>
      <c r="AB125" s="187">
        <v>5.0000000000000001E-3</v>
      </c>
      <c r="AC125" s="187">
        <v>5.0000000000000001E-3</v>
      </c>
      <c r="AD125" s="187">
        <v>5.0000000000000001E-3</v>
      </c>
      <c r="AE125" s="187">
        <v>5.0000000000000001E-3</v>
      </c>
      <c r="AF125" s="187">
        <v>5.0000000000000001E-3</v>
      </c>
      <c r="AG125" s="188"/>
      <c r="AH125" s="187">
        <v>5.0000000000000001E-3</v>
      </c>
    </row>
    <row r="126" spans="1:34" ht="15.75" customHeight="1" x14ac:dyDescent="0.2">
      <c r="A126" s="289"/>
      <c r="B126" s="284"/>
      <c r="C126" s="273"/>
      <c r="D126" s="251"/>
      <c r="E126" s="187"/>
      <c r="F126" s="187"/>
      <c r="G126" s="187"/>
      <c r="H126" s="187"/>
      <c r="I126" s="188"/>
      <c r="J126" s="187"/>
      <c r="K126" s="187"/>
      <c r="L126" s="187"/>
      <c r="M126" s="187"/>
      <c r="N126" s="187"/>
      <c r="O126" s="188"/>
      <c r="P126" s="187"/>
      <c r="Q126" s="187"/>
      <c r="R126" s="187"/>
      <c r="S126" s="187"/>
      <c r="T126" s="187"/>
      <c r="U126" s="188"/>
      <c r="V126" s="187"/>
      <c r="W126" s="187"/>
      <c r="X126" s="187"/>
      <c r="Y126" s="187"/>
      <c r="Z126" s="187"/>
      <c r="AA126" s="188"/>
      <c r="AB126" s="187"/>
      <c r="AC126" s="187"/>
      <c r="AD126" s="187"/>
      <c r="AE126" s="187"/>
      <c r="AF126" s="187"/>
      <c r="AG126" s="188"/>
      <c r="AH126" s="187"/>
    </row>
    <row r="127" spans="1:34" ht="15.75" customHeight="1" x14ac:dyDescent="0.2">
      <c r="A127" s="289"/>
      <c r="B127" s="284"/>
      <c r="C127" s="273" t="s">
        <v>7</v>
      </c>
      <c r="D127" s="272" t="s">
        <v>78</v>
      </c>
      <c r="E127" s="454">
        <v>0.02</v>
      </c>
      <c r="F127" s="454">
        <v>0.02</v>
      </c>
      <c r="G127" s="454">
        <v>0.02</v>
      </c>
      <c r="H127" s="454">
        <v>0.02</v>
      </c>
      <c r="I127" s="188"/>
      <c r="J127" s="454">
        <v>0.02</v>
      </c>
      <c r="K127" s="454">
        <v>0.02</v>
      </c>
      <c r="L127" s="454">
        <v>0.02</v>
      </c>
      <c r="M127" s="454">
        <v>0.02</v>
      </c>
      <c r="N127" s="454">
        <v>0.02</v>
      </c>
      <c r="O127" s="188"/>
      <c r="P127" s="454">
        <v>0.02</v>
      </c>
      <c r="Q127" s="454">
        <v>0.02</v>
      </c>
      <c r="R127" s="454">
        <v>0.02</v>
      </c>
      <c r="S127" s="454">
        <v>0.02</v>
      </c>
      <c r="T127" s="454">
        <v>0.02</v>
      </c>
      <c r="U127" s="188"/>
      <c r="V127" s="454">
        <v>0.02</v>
      </c>
      <c r="W127" s="454">
        <v>0.02</v>
      </c>
      <c r="X127" s="454">
        <v>0.02</v>
      </c>
      <c r="Y127" s="454">
        <v>0.02</v>
      </c>
      <c r="Z127" s="454">
        <v>0.02</v>
      </c>
      <c r="AA127" s="188"/>
      <c r="AB127" s="454">
        <v>0.02</v>
      </c>
      <c r="AC127" s="454">
        <v>0.02</v>
      </c>
      <c r="AD127" s="454">
        <v>0.02</v>
      </c>
      <c r="AE127" s="454">
        <v>0.02</v>
      </c>
      <c r="AF127" s="454">
        <v>0.02</v>
      </c>
      <c r="AG127" s="188"/>
      <c r="AH127" s="454">
        <v>0.02</v>
      </c>
    </row>
    <row r="128" spans="1:34" ht="15.75" customHeight="1" x14ac:dyDescent="0.2">
      <c r="A128" s="289"/>
      <c r="B128" s="284"/>
      <c r="C128" s="273"/>
      <c r="D128" s="251"/>
      <c r="E128" s="454"/>
      <c r="F128" s="454"/>
      <c r="G128" s="454"/>
      <c r="H128" s="454"/>
      <c r="I128" s="188"/>
      <c r="J128" s="454"/>
      <c r="K128" s="454"/>
      <c r="L128" s="454"/>
      <c r="M128" s="454"/>
      <c r="N128" s="454"/>
      <c r="O128" s="188"/>
      <c r="P128" s="454"/>
      <c r="Q128" s="454"/>
      <c r="R128" s="454"/>
      <c r="S128" s="454"/>
      <c r="T128" s="454"/>
      <c r="U128" s="188"/>
      <c r="V128" s="454"/>
      <c r="W128" s="454"/>
      <c r="X128" s="454"/>
      <c r="Y128" s="454"/>
      <c r="Z128" s="454"/>
      <c r="AA128" s="188"/>
      <c r="AB128" s="454"/>
      <c r="AC128" s="454"/>
      <c r="AD128" s="454"/>
      <c r="AE128" s="454"/>
      <c r="AF128" s="454"/>
      <c r="AG128" s="188"/>
      <c r="AH128" s="454"/>
    </row>
    <row r="129" spans="1:34" ht="15.75" customHeight="1" x14ac:dyDescent="0.2">
      <c r="A129" s="289"/>
      <c r="B129" s="284"/>
      <c r="C129" s="273" t="s">
        <v>8</v>
      </c>
      <c r="D129" s="272" t="s">
        <v>78</v>
      </c>
      <c r="E129" s="454">
        <v>1.4999999999999999E-2</v>
      </c>
      <c r="F129" s="454">
        <v>1.4999999999999999E-2</v>
      </c>
      <c r="G129" s="454">
        <v>1.4999999999999999E-2</v>
      </c>
      <c r="H129" s="454">
        <v>1.4999999999999999E-2</v>
      </c>
      <c r="I129" s="188"/>
      <c r="J129" s="454">
        <v>1.4999999999999999E-2</v>
      </c>
      <c r="K129" s="454">
        <v>1.4999999999999999E-2</v>
      </c>
      <c r="L129" s="454">
        <v>1.4999999999999999E-2</v>
      </c>
      <c r="M129" s="454">
        <v>1.4999999999999999E-2</v>
      </c>
      <c r="N129" s="454">
        <v>1.4999999999999999E-2</v>
      </c>
      <c r="O129" s="188"/>
      <c r="P129" s="454">
        <v>1.4999999999999999E-2</v>
      </c>
      <c r="Q129" s="454">
        <v>1.4999999999999999E-2</v>
      </c>
      <c r="R129" s="454">
        <v>1.4999999999999999E-2</v>
      </c>
      <c r="S129" s="454">
        <v>1.4999999999999999E-2</v>
      </c>
      <c r="T129" s="454">
        <v>1.4999999999999999E-2</v>
      </c>
      <c r="U129" s="188"/>
      <c r="V129" s="454">
        <v>1.4999999999999999E-2</v>
      </c>
      <c r="W129" s="454">
        <v>1.4999999999999999E-2</v>
      </c>
      <c r="X129" s="454">
        <v>1.4999999999999999E-2</v>
      </c>
      <c r="Y129" s="454">
        <v>1.4999999999999999E-2</v>
      </c>
      <c r="Z129" s="454">
        <v>1.4999999999999999E-2</v>
      </c>
      <c r="AA129" s="188"/>
      <c r="AB129" s="454">
        <v>1.4999999999999999E-2</v>
      </c>
      <c r="AC129" s="454">
        <v>1.4999999999999999E-2</v>
      </c>
      <c r="AD129" s="454">
        <v>1.4999999999999999E-2</v>
      </c>
      <c r="AE129" s="454">
        <v>1.4999999999999999E-2</v>
      </c>
      <c r="AF129" s="454">
        <v>1.4999999999999999E-2</v>
      </c>
      <c r="AG129" s="188"/>
      <c r="AH129" s="454">
        <v>1.4999999999999999E-2</v>
      </c>
    </row>
    <row r="130" spans="1:34" ht="15.75" customHeight="1" x14ac:dyDescent="0.2">
      <c r="A130" s="289"/>
      <c r="B130" s="284"/>
      <c r="C130" s="273"/>
      <c r="D130" s="251"/>
      <c r="E130" s="454"/>
      <c r="F130" s="454"/>
      <c r="G130" s="454"/>
      <c r="H130" s="454"/>
      <c r="I130" s="188"/>
      <c r="J130" s="454"/>
      <c r="K130" s="454"/>
      <c r="L130" s="454"/>
      <c r="M130" s="454"/>
      <c r="N130" s="454"/>
      <c r="O130" s="188"/>
      <c r="P130" s="454"/>
      <c r="Q130" s="454"/>
      <c r="R130" s="454"/>
      <c r="S130" s="454"/>
      <c r="T130" s="454"/>
      <c r="U130" s="188"/>
      <c r="V130" s="454"/>
      <c r="W130" s="454"/>
      <c r="X130" s="454"/>
      <c r="Y130" s="454"/>
      <c r="Z130" s="454"/>
      <c r="AA130" s="188"/>
      <c r="AB130" s="454"/>
      <c r="AC130" s="454"/>
      <c r="AD130" s="454"/>
      <c r="AE130" s="454"/>
      <c r="AF130" s="454"/>
      <c r="AG130" s="188"/>
      <c r="AH130" s="454"/>
    </row>
    <row r="131" spans="1:34" ht="15.75" customHeight="1" x14ac:dyDescent="0.2">
      <c r="A131" s="289"/>
      <c r="B131" s="284" t="s">
        <v>138</v>
      </c>
      <c r="C131" s="273" t="s">
        <v>26</v>
      </c>
      <c r="D131" s="272" t="s">
        <v>78</v>
      </c>
      <c r="E131" s="454">
        <v>5.0000000000000001E-3</v>
      </c>
      <c r="F131" s="454">
        <v>5.0000000000000001E-3</v>
      </c>
      <c r="G131" s="454">
        <v>5.0000000000000001E-3</v>
      </c>
      <c r="H131" s="454">
        <v>5.0000000000000001E-3</v>
      </c>
      <c r="I131" s="188"/>
      <c r="J131" s="454">
        <v>5.0000000000000001E-3</v>
      </c>
      <c r="K131" s="454">
        <v>5.0000000000000001E-3</v>
      </c>
      <c r="L131" s="454">
        <v>5.0000000000000001E-3</v>
      </c>
      <c r="M131" s="454">
        <v>5.0000000000000001E-3</v>
      </c>
      <c r="N131" s="454">
        <v>5.0000000000000001E-3</v>
      </c>
      <c r="O131" s="188"/>
      <c r="P131" s="454">
        <v>5.0000000000000001E-3</v>
      </c>
      <c r="Q131" s="454">
        <v>5.0000000000000001E-3</v>
      </c>
      <c r="R131" s="454">
        <v>5.0000000000000001E-3</v>
      </c>
      <c r="S131" s="454">
        <v>5.0000000000000001E-3</v>
      </c>
      <c r="T131" s="454">
        <v>5.0000000000000001E-3</v>
      </c>
      <c r="U131" s="188"/>
      <c r="V131" s="454">
        <v>5.0000000000000001E-3</v>
      </c>
      <c r="W131" s="454">
        <v>5.0000000000000001E-3</v>
      </c>
      <c r="X131" s="454">
        <v>5.0000000000000001E-3</v>
      </c>
      <c r="Y131" s="454">
        <v>5.0000000000000001E-3</v>
      </c>
      <c r="Z131" s="454">
        <v>5.0000000000000001E-3</v>
      </c>
      <c r="AA131" s="188"/>
      <c r="AB131" s="454">
        <v>5.0000000000000001E-3</v>
      </c>
      <c r="AC131" s="454">
        <v>5.0000000000000001E-3</v>
      </c>
      <c r="AD131" s="454">
        <v>5.0000000000000001E-3</v>
      </c>
      <c r="AE131" s="454">
        <v>5.0000000000000001E-3</v>
      </c>
      <c r="AF131" s="454">
        <v>5.0000000000000001E-3</v>
      </c>
      <c r="AG131" s="188"/>
      <c r="AH131" s="454">
        <v>5.0000000000000001E-3</v>
      </c>
    </row>
    <row r="132" spans="1:34" ht="15.75" customHeight="1" x14ac:dyDescent="0.2">
      <c r="A132" s="289"/>
      <c r="B132" s="284"/>
      <c r="C132" s="273"/>
      <c r="D132" s="251"/>
      <c r="E132" s="454"/>
      <c r="F132" s="454"/>
      <c r="G132" s="454"/>
      <c r="H132" s="454"/>
      <c r="I132" s="188"/>
      <c r="J132" s="454"/>
      <c r="K132" s="454"/>
      <c r="L132" s="454"/>
      <c r="M132" s="454"/>
      <c r="N132" s="454"/>
      <c r="O132" s="188"/>
      <c r="P132" s="454"/>
      <c r="Q132" s="454"/>
      <c r="R132" s="454"/>
      <c r="S132" s="454"/>
      <c r="T132" s="454"/>
      <c r="U132" s="188"/>
      <c r="V132" s="454"/>
      <c r="W132" s="454"/>
      <c r="X132" s="454"/>
      <c r="Y132" s="454"/>
      <c r="Z132" s="454"/>
      <c r="AA132" s="188"/>
      <c r="AB132" s="454"/>
      <c r="AC132" s="454"/>
      <c r="AD132" s="454"/>
      <c r="AE132" s="454"/>
      <c r="AF132" s="454"/>
      <c r="AG132" s="188"/>
      <c r="AH132" s="454"/>
    </row>
    <row r="133" spans="1:34" ht="15.75" customHeight="1" x14ac:dyDescent="0.2">
      <c r="A133" s="289"/>
      <c r="B133" s="284"/>
      <c r="C133" s="273" t="s">
        <v>7</v>
      </c>
      <c r="D133" s="272" t="s">
        <v>78</v>
      </c>
      <c r="E133" s="451">
        <v>0.02</v>
      </c>
      <c r="F133" s="451">
        <v>0.02</v>
      </c>
      <c r="G133" s="451">
        <v>0.02</v>
      </c>
      <c r="H133" s="451">
        <v>0.02</v>
      </c>
      <c r="I133" s="188"/>
      <c r="J133" s="451">
        <v>0.02</v>
      </c>
      <c r="K133" s="451">
        <v>0.02</v>
      </c>
      <c r="L133" s="451">
        <v>0.02</v>
      </c>
      <c r="M133" s="451">
        <v>0.02</v>
      </c>
      <c r="N133" s="451">
        <v>0.02</v>
      </c>
      <c r="O133" s="188"/>
      <c r="P133" s="451">
        <v>0.02</v>
      </c>
      <c r="Q133" s="451">
        <v>0.02</v>
      </c>
      <c r="R133" s="451">
        <v>0.02</v>
      </c>
      <c r="S133" s="451">
        <v>0.02</v>
      </c>
      <c r="T133" s="451">
        <v>0.02</v>
      </c>
      <c r="U133" s="188"/>
      <c r="V133" s="451">
        <v>0.02</v>
      </c>
      <c r="W133" s="451">
        <v>0.02</v>
      </c>
      <c r="X133" s="451">
        <v>0.02</v>
      </c>
      <c r="Y133" s="451">
        <v>0.02</v>
      </c>
      <c r="Z133" s="451">
        <v>0.02</v>
      </c>
      <c r="AA133" s="188"/>
      <c r="AB133" s="451">
        <v>0.02</v>
      </c>
      <c r="AC133" s="451">
        <v>0.02</v>
      </c>
      <c r="AD133" s="451">
        <v>0.02</v>
      </c>
      <c r="AE133" s="451">
        <v>0.02</v>
      </c>
      <c r="AF133" s="451">
        <v>0.02</v>
      </c>
      <c r="AG133" s="188"/>
      <c r="AH133" s="451">
        <v>0.02</v>
      </c>
    </row>
    <row r="134" spans="1:34" ht="15.75" customHeight="1" x14ac:dyDescent="0.2">
      <c r="A134" s="289"/>
      <c r="B134" s="284"/>
      <c r="C134" s="273"/>
      <c r="D134" s="251"/>
      <c r="E134" s="451"/>
      <c r="F134" s="451"/>
      <c r="G134" s="451"/>
      <c r="H134" s="451"/>
      <c r="I134" s="188"/>
      <c r="J134" s="451"/>
      <c r="K134" s="451"/>
      <c r="L134" s="451"/>
      <c r="M134" s="451"/>
      <c r="N134" s="451"/>
      <c r="O134" s="188"/>
      <c r="P134" s="451"/>
      <c r="Q134" s="451"/>
      <c r="R134" s="451"/>
      <c r="S134" s="451"/>
      <c r="T134" s="451"/>
      <c r="U134" s="188"/>
      <c r="V134" s="451"/>
      <c r="W134" s="451"/>
      <c r="X134" s="451"/>
      <c r="Y134" s="451"/>
      <c r="Z134" s="451"/>
      <c r="AA134" s="188"/>
      <c r="AB134" s="451"/>
      <c r="AC134" s="451"/>
      <c r="AD134" s="451"/>
      <c r="AE134" s="451"/>
      <c r="AF134" s="451"/>
      <c r="AG134" s="188"/>
      <c r="AH134" s="451"/>
    </row>
    <row r="135" spans="1:34" ht="15.75" customHeight="1" x14ac:dyDescent="0.2">
      <c r="A135" s="289"/>
      <c r="B135" s="284"/>
      <c r="C135" s="273" t="s">
        <v>8</v>
      </c>
      <c r="D135" s="272" t="s">
        <v>78</v>
      </c>
      <c r="E135" s="454">
        <v>1.4999999999999999E-2</v>
      </c>
      <c r="F135" s="454">
        <v>1.4999999999999999E-2</v>
      </c>
      <c r="G135" s="454">
        <v>1.4999999999999999E-2</v>
      </c>
      <c r="H135" s="454">
        <v>1.4999999999999999E-2</v>
      </c>
      <c r="I135" s="188"/>
      <c r="J135" s="454">
        <v>1.4999999999999999E-2</v>
      </c>
      <c r="K135" s="454">
        <v>1.4999999999999999E-2</v>
      </c>
      <c r="L135" s="454">
        <v>1.4999999999999999E-2</v>
      </c>
      <c r="M135" s="454">
        <v>1.4999999999999999E-2</v>
      </c>
      <c r="N135" s="454">
        <v>1.4999999999999999E-2</v>
      </c>
      <c r="O135" s="188"/>
      <c r="P135" s="454">
        <v>1.4999999999999999E-2</v>
      </c>
      <c r="Q135" s="454">
        <v>1.4999999999999999E-2</v>
      </c>
      <c r="R135" s="454">
        <v>1.4999999999999999E-2</v>
      </c>
      <c r="S135" s="454">
        <v>1.4999999999999999E-2</v>
      </c>
      <c r="T135" s="454">
        <v>1.4999999999999999E-2</v>
      </c>
      <c r="U135" s="188"/>
      <c r="V135" s="454">
        <v>1.4999999999999999E-2</v>
      </c>
      <c r="W135" s="454">
        <v>1.4999999999999999E-2</v>
      </c>
      <c r="X135" s="454">
        <v>1.4999999999999999E-2</v>
      </c>
      <c r="Y135" s="454">
        <v>1.4999999999999999E-2</v>
      </c>
      <c r="Z135" s="454">
        <v>1.4999999999999999E-2</v>
      </c>
      <c r="AA135" s="188"/>
      <c r="AB135" s="454">
        <v>1.4999999999999999E-2</v>
      </c>
      <c r="AC135" s="454">
        <v>1.4999999999999999E-2</v>
      </c>
      <c r="AD135" s="454">
        <v>1.4999999999999999E-2</v>
      </c>
      <c r="AE135" s="454">
        <v>1.4999999999999999E-2</v>
      </c>
      <c r="AF135" s="454">
        <v>1.4999999999999999E-2</v>
      </c>
      <c r="AG135" s="188"/>
      <c r="AH135" s="454">
        <v>1.4999999999999999E-2</v>
      </c>
    </row>
    <row r="136" spans="1:34" ht="15.75" customHeight="1" x14ac:dyDescent="0.2">
      <c r="A136" s="289"/>
      <c r="B136" s="284"/>
      <c r="C136" s="273"/>
      <c r="D136" s="251"/>
      <c r="E136" s="454"/>
      <c r="F136" s="454"/>
      <c r="G136" s="454"/>
      <c r="H136" s="454"/>
      <c r="I136" s="188"/>
      <c r="J136" s="454"/>
      <c r="K136" s="454"/>
      <c r="L136" s="454"/>
      <c r="M136" s="454"/>
      <c r="N136" s="454"/>
      <c r="O136" s="188"/>
      <c r="P136" s="454"/>
      <c r="Q136" s="454"/>
      <c r="R136" s="454"/>
      <c r="S136" s="454"/>
      <c r="T136" s="454"/>
      <c r="U136" s="188"/>
      <c r="V136" s="454"/>
      <c r="W136" s="454"/>
      <c r="X136" s="454"/>
      <c r="Y136" s="454"/>
      <c r="Z136" s="454"/>
      <c r="AA136" s="188"/>
      <c r="AB136" s="454"/>
      <c r="AC136" s="454"/>
      <c r="AD136" s="454"/>
      <c r="AE136" s="454"/>
      <c r="AF136" s="454"/>
      <c r="AG136" s="188"/>
      <c r="AH136" s="454"/>
    </row>
    <row r="137" spans="1:34" ht="15.75" customHeight="1" x14ac:dyDescent="0.2">
      <c r="A137" s="289"/>
      <c r="B137" s="284" t="s">
        <v>87</v>
      </c>
      <c r="C137" s="273" t="s">
        <v>6</v>
      </c>
      <c r="D137" s="272" t="s">
        <v>78</v>
      </c>
      <c r="E137" s="454">
        <v>2.0000000000000001E-4</v>
      </c>
      <c r="F137" s="454">
        <v>2.0000000000000001E-4</v>
      </c>
      <c r="G137" s="454">
        <v>2.0000000000000001E-4</v>
      </c>
      <c r="H137" s="454">
        <v>2.0000000000000001E-4</v>
      </c>
      <c r="I137" s="188"/>
      <c r="J137" s="454">
        <v>2.0000000000000001E-4</v>
      </c>
      <c r="K137" s="454">
        <v>2.0000000000000001E-4</v>
      </c>
      <c r="L137" s="454">
        <v>2.0000000000000001E-4</v>
      </c>
      <c r="M137" s="454">
        <v>2.0000000000000001E-4</v>
      </c>
      <c r="N137" s="454">
        <v>2.0000000000000001E-4</v>
      </c>
      <c r="O137" s="188"/>
      <c r="P137" s="454">
        <v>2.0000000000000001E-4</v>
      </c>
      <c r="Q137" s="454">
        <v>2.0000000000000001E-4</v>
      </c>
      <c r="R137" s="454">
        <v>2.0000000000000001E-4</v>
      </c>
      <c r="S137" s="454">
        <v>2.0000000000000001E-4</v>
      </c>
      <c r="T137" s="454">
        <v>2.0000000000000001E-4</v>
      </c>
      <c r="U137" s="188"/>
      <c r="V137" s="454">
        <v>2.0000000000000001E-4</v>
      </c>
      <c r="W137" s="454">
        <v>2.0000000000000001E-4</v>
      </c>
      <c r="X137" s="454">
        <v>2.0000000000000001E-4</v>
      </c>
      <c r="Y137" s="454">
        <v>2.0000000000000001E-4</v>
      </c>
      <c r="Z137" s="454">
        <v>2.0000000000000001E-4</v>
      </c>
      <c r="AA137" s="188"/>
      <c r="AB137" s="454">
        <v>2.0000000000000001E-4</v>
      </c>
      <c r="AC137" s="454">
        <v>2.0000000000000001E-4</v>
      </c>
      <c r="AD137" s="454">
        <v>2.0000000000000001E-4</v>
      </c>
      <c r="AE137" s="454">
        <v>2.0000000000000001E-4</v>
      </c>
      <c r="AF137" s="454">
        <v>2.0000000000000001E-4</v>
      </c>
      <c r="AG137" s="188"/>
      <c r="AH137" s="454">
        <v>2.0000000000000001E-4</v>
      </c>
    </row>
    <row r="138" spans="1:34" ht="15.75" customHeight="1" x14ac:dyDescent="0.2">
      <c r="A138" s="289"/>
      <c r="B138" s="284"/>
      <c r="C138" s="273"/>
      <c r="D138" s="251"/>
      <c r="E138" s="454"/>
      <c r="F138" s="454"/>
      <c r="G138" s="454"/>
      <c r="H138" s="454"/>
      <c r="I138" s="188"/>
      <c r="J138" s="454"/>
      <c r="K138" s="454"/>
      <c r="L138" s="454"/>
      <c r="M138" s="454"/>
      <c r="N138" s="454"/>
      <c r="O138" s="188"/>
      <c r="P138" s="454"/>
      <c r="Q138" s="454"/>
      <c r="R138" s="454"/>
      <c r="S138" s="454"/>
      <c r="T138" s="454"/>
      <c r="U138" s="188"/>
      <c r="V138" s="454"/>
      <c r="W138" s="454"/>
      <c r="X138" s="454"/>
      <c r="Y138" s="454"/>
      <c r="Z138" s="454"/>
      <c r="AA138" s="188"/>
      <c r="AB138" s="454"/>
      <c r="AC138" s="454"/>
      <c r="AD138" s="454"/>
      <c r="AE138" s="454"/>
      <c r="AF138" s="454"/>
      <c r="AG138" s="188"/>
      <c r="AH138" s="454"/>
    </row>
    <row r="139" spans="1:34" ht="15.75" customHeight="1" x14ac:dyDescent="0.2">
      <c r="A139" s="289"/>
      <c r="B139" s="284"/>
      <c r="C139" s="273" t="s">
        <v>7</v>
      </c>
      <c r="D139" s="272" t="s">
        <v>78</v>
      </c>
      <c r="E139" s="451">
        <v>0.01</v>
      </c>
      <c r="F139" s="451">
        <v>0.01</v>
      </c>
      <c r="G139" s="451">
        <v>0.01</v>
      </c>
      <c r="H139" s="451">
        <v>0.01</v>
      </c>
      <c r="I139" s="188"/>
      <c r="J139" s="451">
        <v>0.01</v>
      </c>
      <c r="K139" s="451">
        <v>0.01</v>
      </c>
      <c r="L139" s="451">
        <v>0.01</v>
      </c>
      <c r="M139" s="451">
        <v>0.01</v>
      </c>
      <c r="N139" s="451">
        <v>0.01</v>
      </c>
      <c r="O139" s="188"/>
      <c r="P139" s="451">
        <v>0.01</v>
      </c>
      <c r="Q139" s="451">
        <v>0.01</v>
      </c>
      <c r="R139" s="451">
        <v>0.01</v>
      </c>
      <c r="S139" s="451">
        <v>0.01</v>
      </c>
      <c r="T139" s="451">
        <v>0.01</v>
      </c>
      <c r="U139" s="188"/>
      <c r="V139" s="451">
        <v>0.01</v>
      </c>
      <c r="W139" s="451">
        <v>0.01</v>
      </c>
      <c r="X139" s="451">
        <v>0.01</v>
      </c>
      <c r="Y139" s="451">
        <v>0.01</v>
      </c>
      <c r="Z139" s="451">
        <v>0.01</v>
      </c>
      <c r="AA139" s="188"/>
      <c r="AB139" s="451">
        <v>0.01</v>
      </c>
      <c r="AC139" s="451">
        <v>0.01</v>
      </c>
      <c r="AD139" s="451">
        <v>0.01</v>
      </c>
      <c r="AE139" s="451">
        <v>0.01</v>
      </c>
      <c r="AF139" s="451">
        <v>0.01</v>
      </c>
      <c r="AG139" s="188"/>
      <c r="AH139" s="451">
        <v>0.01</v>
      </c>
    </row>
    <row r="140" spans="1:34" ht="15.75" customHeight="1" x14ac:dyDescent="0.2">
      <c r="A140" s="289"/>
      <c r="B140" s="284"/>
      <c r="C140" s="273"/>
      <c r="D140" s="251"/>
      <c r="E140" s="451"/>
      <c r="F140" s="451"/>
      <c r="G140" s="451"/>
      <c r="H140" s="451"/>
      <c r="I140" s="188"/>
      <c r="J140" s="451"/>
      <c r="K140" s="451"/>
      <c r="L140" s="451"/>
      <c r="M140" s="451"/>
      <c r="N140" s="451"/>
      <c r="O140" s="188"/>
      <c r="P140" s="451"/>
      <c r="Q140" s="451"/>
      <c r="R140" s="451"/>
      <c r="S140" s="451"/>
      <c r="T140" s="451"/>
      <c r="U140" s="188"/>
      <c r="V140" s="451"/>
      <c r="W140" s="451"/>
      <c r="X140" s="451"/>
      <c r="Y140" s="451"/>
      <c r="Z140" s="451"/>
      <c r="AA140" s="188"/>
      <c r="AB140" s="451"/>
      <c r="AC140" s="451"/>
      <c r="AD140" s="451"/>
      <c r="AE140" s="451"/>
      <c r="AF140" s="451"/>
      <c r="AG140" s="188"/>
      <c r="AH140" s="451"/>
    </row>
    <row r="141" spans="1:34" ht="15.75" customHeight="1" x14ac:dyDescent="0.2">
      <c r="A141" s="289"/>
      <c r="B141" s="284"/>
      <c r="C141" s="273" t="s">
        <v>8</v>
      </c>
      <c r="D141" s="272" t="s">
        <v>78</v>
      </c>
      <c r="E141" s="454">
        <v>5.0000000000000001E-3</v>
      </c>
      <c r="F141" s="454">
        <v>5.0000000000000001E-3</v>
      </c>
      <c r="G141" s="454">
        <v>5.0000000000000001E-3</v>
      </c>
      <c r="H141" s="454">
        <v>5.0000000000000001E-3</v>
      </c>
      <c r="I141" s="188"/>
      <c r="J141" s="454">
        <v>5.0000000000000001E-3</v>
      </c>
      <c r="K141" s="454">
        <v>5.0000000000000001E-3</v>
      </c>
      <c r="L141" s="454">
        <v>5.0000000000000001E-3</v>
      </c>
      <c r="M141" s="454">
        <v>5.0000000000000001E-3</v>
      </c>
      <c r="N141" s="454">
        <v>5.0000000000000001E-3</v>
      </c>
      <c r="O141" s="188"/>
      <c r="P141" s="454">
        <v>5.0000000000000001E-3</v>
      </c>
      <c r="Q141" s="454">
        <v>5.0000000000000001E-3</v>
      </c>
      <c r="R141" s="454">
        <v>5.0000000000000001E-3</v>
      </c>
      <c r="S141" s="454">
        <v>5.0000000000000001E-3</v>
      </c>
      <c r="T141" s="454">
        <v>5.0000000000000001E-3</v>
      </c>
      <c r="U141" s="188"/>
      <c r="V141" s="454">
        <v>5.0000000000000001E-3</v>
      </c>
      <c r="W141" s="454">
        <v>5.0000000000000001E-3</v>
      </c>
      <c r="X141" s="454">
        <v>5.0000000000000001E-3</v>
      </c>
      <c r="Y141" s="454">
        <v>5.0000000000000001E-3</v>
      </c>
      <c r="Z141" s="454">
        <v>5.0000000000000001E-3</v>
      </c>
      <c r="AA141" s="188"/>
      <c r="AB141" s="454">
        <v>5.0000000000000001E-3</v>
      </c>
      <c r="AC141" s="454">
        <v>5.0000000000000001E-3</v>
      </c>
      <c r="AD141" s="454">
        <v>5.0000000000000001E-3</v>
      </c>
      <c r="AE141" s="454">
        <v>5.0000000000000001E-3</v>
      </c>
      <c r="AF141" s="454">
        <v>5.0000000000000001E-3</v>
      </c>
      <c r="AG141" s="188"/>
      <c r="AH141" s="454">
        <v>5.0000000000000001E-3</v>
      </c>
    </row>
    <row r="142" spans="1:34" ht="15.75" customHeight="1" x14ac:dyDescent="0.2">
      <c r="A142" s="289"/>
      <c r="B142" s="284"/>
      <c r="C142" s="273"/>
      <c r="D142" s="251"/>
      <c r="E142" s="454"/>
      <c r="F142" s="454"/>
      <c r="G142" s="454"/>
      <c r="H142" s="454"/>
      <c r="I142" s="188"/>
      <c r="J142" s="454"/>
      <c r="K142" s="454"/>
      <c r="L142" s="454"/>
      <c r="M142" s="454"/>
      <c r="N142" s="454"/>
      <c r="O142" s="188"/>
      <c r="P142" s="454"/>
      <c r="Q142" s="454"/>
      <c r="R142" s="454"/>
      <c r="S142" s="454"/>
      <c r="T142" s="454"/>
      <c r="U142" s="188"/>
      <c r="V142" s="454"/>
      <c r="W142" s="454"/>
      <c r="X142" s="454"/>
      <c r="Y142" s="454"/>
      <c r="Z142" s="454"/>
      <c r="AA142" s="188"/>
      <c r="AB142" s="454"/>
      <c r="AC142" s="454"/>
      <c r="AD142" s="454"/>
      <c r="AE142" s="454"/>
      <c r="AF142" s="454"/>
      <c r="AG142" s="188"/>
      <c r="AH142" s="454"/>
    </row>
    <row r="143" spans="1:34" x14ac:dyDescent="0.2">
      <c r="A143" s="289"/>
      <c r="B143" s="284" t="s">
        <v>139</v>
      </c>
      <c r="C143" s="23" t="s">
        <v>6</v>
      </c>
      <c r="D143" s="24" t="s">
        <v>135</v>
      </c>
      <c r="E143" s="181">
        <v>2</v>
      </c>
      <c r="F143" s="181">
        <v>2</v>
      </c>
      <c r="G143" s="181">
        <v>2</v>
      </c>
      <c r="H143" s="181">
        <v>2</v>
      </c>
      <c r="I143" s="188"/>
      <c r="J143" s="192">
        <v>8</v>
      </c>
      <c r="K143" s="181">
        <v>2</v>
      </c>
      <c r="L143" s="181">
        <v>2</v>
      </c>
      <c r="M143" s="181">
        <v>2</v>
      </c>
      <c r="N143" s="181">
        <v>2</v>
      </c>
      <c r="O143" s="188"/>
      <c r="P143" s="192">
        <v>8</v>
      </c>
      <c r="Q143" s="181">
        <v>2</v>
      </c>
      <c r="R143" s="181">
        <v>2</v>
      </c>
      <c r="S143" s="181">
        <v>2</v>
      </c>
      <c r="T143" s="181">
        <v>2</v>
      </c>
      <c r="U143" s="188"/>
      <c r="V143" s="192">
        <v>8</v>
      </c>
      <c r="W143" s="181">
        <v>2</v>
      </c>
      <c r="X143" s="181">
        <v>2</v>
      </c>
      <c r="Y143" s="181">
        <v>2</v>
      </c>
      <c r="Z143" s="181">
        <v>2</v>
      </c>
      <c r="AA143" s="188"/>
      <c r="AB143" s="192">
        <v>8</v>
      </c>
      <c r="AC143" s="181">
        <v>2</v>
      </c>
      <c r="AD143" s="181">
        <v>2</v>
      </c>
      <c r="AE143" s="181">
        <v>2</v>
      </c>
      <c r="AF143" s="181">
        <v>2</v>
      </c>
      <c r="AG143" s="188"/>
      <c r="AH143" s="192">
        <v>8</v>
      </c>
    </row>
    <row r="144" spans="1:34" x14ac:dyDescent="0.2">
      <c r="A144" s="289"/>
      <c r="B144" s="284"/>
      <c r="C144" s="23" t="s">
        <v>7</v>
      </c>
      <c r="D144" s="24" t="s">
        <v>135</v>
      </c>
      <c r="E144" s="181">
        <v>0</v>
      </c>
      <c r="F144" s="181">
        <v>0</v>
      </c>
      <c r="G144" s="186">
        <v>0</v>
      </c>
      <c r="H144" s="186">
        <v>1</v>
      </c>
      <c r="I144" s="188"/>
      <c r="J144" s="192">
        <v>1</v>
      </c>
      <c r="K144" s="181">
        <v>0</v>
      </c>
      <c r="L144" s="181">
        <v>0</v>
      </c>
      <c r="M144" s="186">
        <v>0</v>
      </c>
      <c r="N144" s="186">
        <v>1</v>
      </c>
      <c r="O144" s="188"/>
      <c r="P144" s="192">
        <v>1</v>
      </c>
      <c r="Q144" s="181">
        <v>0</v>
      </c>
      <c r="R144" s="181">
        <v>0</v>
      </c>
      <c r="S144" s="186">
        <v>0</v>
      </c>
      <c r="T144" s="186">
        <v>1</v>
      </c>
      <c r="U144" s="188"/>
      <c r="V144" s="192">
        <v>1</v>
      </c>
      <c r="W144" s="181">
        <v>0</v>
      </c>
      <c r="X144" s="181">
        <v>0</v>
      </c>
      <c r="Y144" s="186">
        <v>0</v>
      </c>
      <c r="Z144" s="186">
        <v>1</v>
      </c>
      <c r="AA144" s="188"/>
      <c r="AB144" s="192">
        <v>1</v>
      </c>
      <c r="AC144" s="181">
        <v>0</v>
      </c>
      <c r="AD144" s="181">
        <v>0</v>
      </c>
      <c r="AE144" s="186">
        <v>0</v>
      </c>
      <c r="AF144" s="186">
        <v>1</v>
      </c>
      <c r="AG144" s="188"/>
      <c r="AH144" s="192">
        <v>1</v>
      </c>
    </row>
    <row r="145" spans="1:34" x14ac:dyDescent="0.2">
      <c r="A145" s="289"/>
      <c r="B145" s="284"/>
      <c r="C145" s="23" t="s">
        <v>8</v>
      </c>
      <c r="D145" s="24" t="s">
        <v>135</v>
      </c>
      <c r="E145" s="181">
        <v>0</v>
      </c>
      <c r="F145" s="181">
        <v>0</v>
      </c>
      <c r="G145" s="186">
        <v>0</v>
      </c>
      <c r="H145" s="186">
        <v>1</v>
      </c>
      <c r="I145" s="188"/>
      <c r="J145" s="192">
        <v>1</v>
      </c>
      <c r="K145" s="181">
        <v>0</v>
      </c>
      <c r="L145" s="181">
        <v>0</v>
      </c>
      <c r="M145" s="186">
        <v>0</v>
      </c>
      <c r="N145" s="186">
        <v>1</v>
      </c>
      <c r="O145" s="188"/>
      <c r="P145" s="192">
        <v>1</v>
      </c>
      <c r="Q145" s="181">
        <v>0</v>
      </c>
      <c r="R145" s="181">
        <v>0</v>
      </c>
      <c r="S145" s="186">
        <v>0</v>
      </c>
      <c r="T145" s="186">
        <v>1</v>
      </c>
      <c r="U145" s="188"/>
      <c r="V145" s="192">
        <v>1</v>
      </c>
      <c r="W145" s="181">
        <v>0</v>
      </c>
      <c r="X145" s="181">
        <v>0</v>
      </c>
      <c r="Y145" s="186">
        <v>0</v>
      </c>
      <c r="Z145" s="186">
        <v>1</v>
      </c>
      <c r="AA145" s="188"/>
      <c r="AB145" s="192">
        <v>1</v>
      </c>
      <c r="AC145" s="181">
        <v>0</v>
      </c>
      <c r="AD145" s="181">
        <v>0</v>
      </c>
      <c r="AE145" s="186">
        <v>0</v>
      </c>
      <c r="AF145" s="186">
        <v>1</v>
      </c>
      <c r="AG145" s="188"/>
      <c r="AH145" s="192">
        <v>1</v>
      </c>
    </row>
    <row r="146" spans="1:34" x14ac:dyDescent="0.2">
      <c r="A146" s="289"/>
      <c r="B146" s="284" t="s">
        <v>140</v>
      </c>
      <c r="C146" s="273" t="s">
        <v>26</v>
      </c>
      <c r="D146" s="272" t="s">
        <v>78</v>
      </c>
      <c r="E146" s="451">
        <v>0.5</v>
      </c>
      <c r="F146" s="451">
        <v>0.5</v>
      </c>
      <c r="G146" s="451">
        <v>0.5</v>
      </c>
      <c r="H146" s="451">
        <v>0.5</v>
      </c>
      <c r="I146" s="188"/>
      <c r="J146" s="451">
        <v>0.5</v>
      </c>
      <c r="K146" s="451">
        <v>0.5</v>
      </c>
      <c r="L146" s="451">
        <v>0.5</v>
      </c>
      <c r="M146" s="451">
        <v>0.5</v>
      </c>
      <c r="N146" s="451">
        <v>0.5</v>
      </c>
      <c r="O146" s="188"/>
      <c r="P146" s="451">
        <v>0.5</v>
      </c>
      <c r="Q146" s="451">
        <v>0.5</v>
      </c>
      <c r="R146" s="451">
        <v>0.5</v>
      </c>
      <c r="S146" s="451">
        <v>0.5</v>
      </c>
      <c r="T146" s="451">
        <v>0.5</v>
      </c>
      <c r="U146" s="188"/>
      <c r="V146" s="451">
        <v>0.5</v>
      </c>
      <c r="W146" s="451">
        <v>0.5</v>
      </c>
      <c r="X146" s="451">
        <v>0.5</v>
      </c>
      <c r="Y146" s="451">
        <v>0.5</v>
      </c>
      <c r="Z146" s="451">
        <v>0.5</v>
      </c>
      <c r="AA146" s="188"/>
      <c r="AB146" s="451">
        <v>0.5</v>
      </c>
      <c r="AC146" s="451">
        <v>0.5</v>
      </c>
      <c r="AD146" s="451">
        <v>0.5</v>
      </c>
      <c r="AE146" s="451">
        <v>0.5</v>
      </c>
      <c r="AF146" s="451">
        <v>0.5</v>
      </c>
      <c r="AG146" s="188"/>
      <c r="AH146" s="451">
        <v>0.5</v>
      </c>
    </row>
    <row r="147" spans="1:34" x14ac:dyDescent="0.2">
      <c r="A147" s="289"/>
      <c r="B147" s="284"/>
      <c r="C147" s="273"/>
      <c r="D147" s="251"/>
      <c r="E147" s="451"/>
      <c r="F147" s="451"/>
      <c r="G147" s="451"/>
      <c r="H147" s="451"/>
      <c r="I147" s="188"/>
      <c r="J147" s="451"/>
      <c r="K147" s="451"/>
      <c r="L147" s="451"/>
      <c r="M147" s="451"/>
      <c r="N147" s="451"/>
      <c r="O147" s="188"/>
      <c r="P147" s="451"/>
      <c r="Q147" s="451"/>
      <c r="R147" s="451"/>
      <c r="S147" s="451"/>
      <c r="T147" s="451"/>
      <c r="U147" s="188"/>
      <c r="V147" s="451"/>
      <c r="W147" s="451"/>
      <c r="X147" s="451"/>
      <c r="Y147" s="451"/>
      <c r="Z147" s="451"/>
      <c r="AA147" s="188"/>
      <c r="AB147" s="451"/>
      <c r="AC147" s="451"/>
      <c r="AD147" s="451"/>
      <c r="AE147" s="451"/>
      <c r="AF147" s="451"/>
      <c r="AG147" s="188"/>
      <c r="AH147" s="451"/>
    </row>
    <row r="148" spans="1:34" ht="15.75" customHeight="1" x14ac:dyDescent="0.2">
      <c r="A148" s="289"/>
      <c r="B148" s="284"/>
      <c r="C148" s="291" t="s">
        <v>7</v>
      </c>
      <c r="D148" s="272" t="s">
        <v>78</v>
      </c>
      <c r="E148" s="451">
        <v>1</v>
      </c>
      <c r="F148" s="451">
        <v>1</v>
      </c>
      <c r="G148" s="451">
        <v>1</v>
      </c>
      <c r="H148" s="451">
        <v>1</v>
      </c>
      <c r="I148" s="188"/>
      <c r="J148" s="451">
        <v>1</v>
      </c>
      <c r="K148" s="451">
        <v>1</v>
      </c>
      <c r="L148" s="451">
        <v>1</v>
      </c>
      <c r="M148" s="451">
        <v>1</v>
      </c>
      <c r="N148" s="451">
        <v>1</v>
      </c>
      <c r="O148" s="188"/>
      <c r="P148" s="451">
        <v>1</v>
      </c>
      <c r="Q148" s="451">
        <v>1</v>
      </c>
      <c r="R148" s="451">
        <v>1</v>
      </c>
      <c r="S148" s="451">
        <v>1</v>
      </c>
      <c r="T148" s="451">
        <v>1</v>
      </c>
      <c r="U148" s="188"/>
      <c r="V148" s="451">
        <v>1</v>
      </c>
      <c r="W148" s="451">
        <v>1</v>
      </c>
      <c r="X148" s="451">
        <v>1</v>
      </c>
      <c r="Y148" s="451">
        <v>1</v>
      </c>
      <c r="Z148" s="451">
        <v>1</v>
      </c>
      <c r="AA148" s="188"/>
      <c r="AB148" s="451">
        <v>1</v>
      </c>
      <c r="AC148" s="451">
        <v>1</v>
      </c>
      <c r="AD148" s="451">
        <v>1</v>
      </c>
      <c r="AE148" s="451">
        <v>1</v>
      </c>
      <c r="AF148" s="451">
        <v>1</v>
      </c>
      <c r="AG148" s="188"/>
      <c r="AH148" s="451">
        <v>1</v>
      </c>
    </row>
    <row r="149" spans="1:34" ht="15.75" customHeight="1" x14ac:dyDescent="0.2">
      <c r="A149" s="289"/>
      <c r="B149" s="284"/>
      <c r="C149" s="291"/>
      <c r="D149" s="251"/>
      <c r="E149" s="451"/>
      <c r="F149" s="451"/>
      <c r="G149" s="451"/>
      <c r="H149" s="451"/>
      <c r="I149" s="188"/>
      <c r="J149" s="451"/>
      <c r="K149" s="451"/>
      <c r="L149" s="451"/>
      <c r="M149" s="451"/>
      <c r="N149" s="451"/>
      <c r="O149" s="188"/>
      <c r="P149" s="451"/>
      <c r="Q149" s="451"/>
      <c r="R149" s="451"/>
      <c r="S149" s="451"/>
      <c r="T149" s="451"/>
      <c r="U149" s="188"/>
      <c r="V149" s="451"/>
      <c r="W149" s="451"/>
      <c r="X149" s="451"/>
      <c r="Y149" s="451"/>
      <c r="Z149" s="451"/>
      <c r="AA149" s="188"/>
      <c r="AB149" s="451"/>
      <c r="AC149" s="451"/>
      <c r="AD149" s="451"/>
      <c r="AE149" s="451"/>
      <c r="AF149" s="451"/>
      <c r="AG149" s="188"/>
      <c r="AH149" s="451"/>
    </row>
    <row r="150" spans="1:34" ht="15.75" customHeight="1" x14ac:dyDescent="0.2">
      <c r="A150" s="289"/>
      <c r="B150" s="284"/>
      <c r="C150" s="273" t="s">
        <v>8</v>
      </c>
      <c r="D150" s="272" t="s">
        <v>78</v>
      </c>
      <c r="E150" s="451">
        <v>0.5</v>
      </c>
      <c r="F150" s="451">
        <v>0.5</v>
      </c>
      <c r="G150" s="451">
        <v>0.5</v>
      </c>
      <c r="H150" s="451">
        <v>0.5</v>
      </c>
      <c r="I150" s="188"/>
      <c r="J150" s="451">
        <v>0.5</v>
      </c>
      <c r="K150" s="451">
        <v>0.5</v>
      </c>
      <c r="L150" s="451">
        <v>0.5</v>
      </c>
      <c r="M150" s="451">
        <v>0.5</v>
      </c>
      <c r="N150" s="451">
        <v>0.5</v>
      </c>
      <c r="O150" s="188"/>
      <c r="P150" s="451">
        <v>0.5</v>
      </c>
      <c r="Q150" s="451">
        <v>0.5</v>
      </c>
      <c r="R150" s="451">
        <v>0.5</v>
      </c>
      <c r="S150" s="451">
        <v>0.5</v>
      </c>
      <c r="T150" s="451">
        <v>0.5</v>
      </c>
      <c r="U150" s="188"/>
      <c r="V150" s="451">
        <v>0.5</v>
      </c>
      <c r="W150" s="451">
        <v>0.5</v>
      </c>
      <c r="X150" s="451">
        <v>0.5</v>
      </c>
      <c r="Y150" s="451">
        <v>0.5</v>
      </c>
      <c r="Z150" s="451">
        <v>0.5</v>
      </c>
      <c r="AA150" s="188"/>
      <c r="AB150" s="451">
        <v>0.5</v>
      </c>
      <c r="AC150" s="451">
        <v>0.5</v>
      </c>
      <c r="AD150" s="451">
        <v>0.5</v>
      </c>
      <c r="AE150" s="451">
        <v>0.5</v>
      </c>
      <c r="AF150" s="451">
        <v>0.5</v>
      </c>
      <c r="AG150" s="188"/>
      <c r="AH150" s="451">
        <v>0.5</v>
      </c>
    </row>
    <row r="151" spans="1:34" ht="15.75" customHeight="1" x14ac:dyDescent="0.2">
      <c r="A151" s="251"/>
      <c r="B151" s="284"/>
      <c r="C151" s="273"/>
      <c r="D151" s="251"/>
      <c r="E151" s="451"/>
      <c r="F151" s="451"/>
      <c r="G151" s="451"/>
      <c r="H151" s="451"/>
      <c r="I151" s="188"/>
      <c r="J151" s="451"/>
      <c r="K151" s="451"/>
      <c r="L151" s="451"/>
      <c r="M151" s="451"/>
      <c r="N151" s="451"/>
      <c r="O151" s="188"/>
      <c r="P151" s="451"/>
      <c r="Q151" s="451"/>
      <c r="R151" s="451"/>
      <c r="S151" s="451"/>
      <c r="T151" s="451"/>
      <c r="U151" s="188"/>
      <c r="V151" s="451"/>
      <c r="W151" s="451"/>
      <c r="X151" s="451"/>
      <c r="Y151" s="451"/>
      <c r="Z151" s="451"/>
      <c r="AA151" s="188"/>
      <c r="AB151" s="451"/>
      <c r="AC151" s="451"/>
      <c r="AD151" s="451"/>
      <c r="AE151" s="451"/>
      <c r="AF151" s="451"/>
      <c r="AG151" s="188"/>
      <c r="AH151" s="451"/>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73"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73"/>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73"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73"/>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73"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73"/>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75" customHeight="1" x14ac:dyDescent="0.2">
      <c r="A171" s="273"/>
      <c r="B171" s="291"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291"/>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291"/>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291"/>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291"/>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291"/>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5.75" customHeight="1" x14ac:dyDescent="0.2">
      <c r="A177" s="273"/>
      <c r="B177" s="291"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291"/>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291"/>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291"/>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291"/>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449"/>
      <c r="B182" s="291"/>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15.75" customHeight="1" x14ac:dyDescent="0.2">
      <c r="A183" s="273"/>
      <c r="B183" s="291"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449"/>
      <c r="B184" s="291"/>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291"/>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291"/>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291"/>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291"/>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7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f>20.75%-2%</f>
        <v>0.1875</v>
      </c>
      <c r="F196" s="254">
        <f>20.75%-2%</f>
        <v>0.1875</v>
      </c>
      <c r="G196" s="254">
        <f>20.75%-2%</f>
        <v>0.1875</v>
      </c>
      <c r="H196" s="254">
        <f>20.75%-2%</f>
        <v>0.1875</v>
      </c>
      <c r="I196" s="45"/>
      <c r="J196" s="254">
        <f>20.75%-2%</f>
        <v>0.1875</v>
      </c>
      <c r="K196" s="254">
        <f>E196-2%</f>
        <v>0.16750000000000001</v>
      </c>
      <c r="L196" s="254">
        <f>F196-2%</f>
        <v>0.16750000000000001</v>
      </c>
      <c r="M196" s="254">
        <f>G196-2%</f>
        <v>0.16750000000000001</v>
      </c>
      <c r="N196" s="254">
        <f>H196-2%</f>
        <v>0.16750000000000001</v>
      </c>
      <c r="O196" s="45"/>
      <c r="P196" s="254">
        <f>J196-2%</f>
        <v>0.16750000000000001</v>
      </c>
      <c r="Q196" s="254">
        <v>0.14749999999999999</v>
      </c>
      <c r="R196" s="254">
        <v>0.14749999999999999</v>
      </c>
      <c r="S196" s="254">
        <v>0.14749999999999999</v>
      </c>
      <c r="T196" s="254">
        <v>0.14749999999999999</v>
      </c>
      <c r="U196" s="45"/>
      <c r="V196" s="254">
        <v>0.14749999999999999</v>
      </c>
      <c r="W196" s="254">
        <v>0.1275</v>
      </c>
      <c r="X196" s="254">
        <v>0.1275</v>
      </c>
      <c r="Y196" s="254">
        <v>0.1275</v>
      </c>
      <c r="Z196" s="254">
        <v>0.1275</v>
      </c>
      <c r="AA196" s="45"/>
      <c r="AB196" s="254">
        <v>0.1275</v>
      </c>
      <c r="AC196" s="254">
        <v>0.1275</v>
      </c>
      <c r="AD196" s="254">
        <v>0.1275</v>
      </c>
      <c r="AE196" s="254">
        <v>0.1275</v>
      </c>
      <c r="AF196" s="254">
        <v>0.1275</v>
      </c>
      <c r="AG196" s="29"/>
      <c r="AH196" s="254">
        <v>0.1275</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1.1000000000000001</v>
      </c>
      <c r="F200" s="250">
        <v>1.1000000000000001</v>
      </c>
      <c r="G200" s="250">
        <v>1.1000000000000001</v>
      </c>
      <c r="H200" s="250">
        <v>1.1000000000000001</v>
      </c>
      <c r="I200" s="26"/>
      <c r="J200" s="250">
        <v>1.1000000000000001</v>
      </c>
      <c r="K200" s="250">
        <v>1.1000000000000001</v>
      </c>
      <c r="L200" s="250">
        <v>1.1000000000000001</v>
      </c>
      <c r="M200" s="250">
        <v>1.1000000000000001</v>
      </c>
      <c r="N200" s="250">
        <v>1.1000000000000001</v>
      </c>
      <c r="O200" s="26"/>
      <c r="P200" s="250">
        <v>1.1000000000000001</v>
      </c>
      <c r="Q200" s="250">
        <v>1.1000000000000001</v>
      </c>
      <c r="R200" s="250">
        <v>1.1000000000000001</v>
      </c>
      <c r="S200" s="250">
        <v>1.1000000000000001</v>
      </c>
      <c r="T200" s="250">
        <v>1.1000000000000001</v>
      </c>
      <c r="U200" s="26"/>
      <c r="V200" s="250">
        <v>1.1000000000000001</v>
      </c>
      <c r="W200" s="250">
        <v>1.1000000000000001</v>
      </c>
      <c r="X200" s="250">
        <v>1.1000000000000001</v>
      </c>
      <c r="Y200" s="250">
        <v>1.1000000000000001</v>
      </c>
      <c r="Z200" s="250">
        <v>1.1000000000000001</v>
      </c>
      <c r="AA200" s="26"/>
      <c r="AB200" s="250">
        <v>1.1000000000000001</v>
      </c>
      <c r="AC200" s="250">
        <v>1.1000000000000001</v>
      </c>
      <c r="AD200" s="250">
        <v>1.1000000000000001</v>
      </c>
      <c r="AE200" s="250">
        <v>1.1000000000000001</v>
      </c>
      <c r="AF200" s="250">
        <v>1.1000000000000001</v>
      </c>
      <c r="AG200" s="26"/>
      <c r="AH200" s="250">
        <v>1.1000000000000001</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273"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273"/>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273"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273"/>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273"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273"/>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73" t="s">
        <v>78</v>
      </c>
      <c r="E208" s="249">
        <f>12/20.9</f>
        <v>0.57416267942583732</v>
      </c>
      <c r="F208" s="249">
        <f>12/20.9</f>
        <v>0.57416267942583732</v>
      </c>
      <c r="G208" s="249">
        <f>12/20.9</f>
        <v>0.57416267942583732</v>
      </c>
      <c r="H208" s="249">
        <f>12/20.9</f>
        <v>0.57416267942583732</v>
      </c>
      <c r="I208" s="19"/>
      <c r="J208" s="249">
        <f>12/20.9</f>
        <v>0.57416267942583732</v>
      </c>
      <c r="K208" s="249">
        <f>12/20.9</f>
        <v>0.57416267942583732</v>
      </c>
      <c r="L208" s="249">
        <f>12/20.9</f>
        <v>0.57416267942583732</v>
      </c>
      <c r="M208" s="249">
        <f>12/20.9</f>
        <v>0.57416267942583732</v>
      </c>
      <c r="N208" s="249">
        <f>12/20.9</f>
        <v>0.57416267942583732</v>
      </c>
      <c r="O208" s="19"/>
      <c r="P208" s="249">
        <f>12/20.9</f>
        <v>0.57416267942583732</v>
      </c>
      <c r="Q208" s="249">
        <f>12/20.9</f>
        <v>0.57416267942583732</v>
      </c>
      <c r="R208" s="249">
        <f>12/20.9</f>
        <v>0.57416267942583732</v>
      </c>
      <c r="S208" s="249">
        <f>12/20.9</f>
        <v>0.57416267942583732</v>
      </c>
      <c r="T208" s="249">
        <f>12/20.9</f>
        <v>0.57416267942583732</v>
      </c>
      <c r="U208" s="19"/>
      <c r="V208" s="249">
        <f>12/20.9</f>
        <v>0.57416267942583732</v>
      </c>
      <c r="W208" s="249">
        <f>12/20.9</f>
        <v>0.57416267942583732</v>
      </c>
      <c r="X208" s="249">
        <f>12/20.9</f>
        <v>0.57416267942583732</v>
      </c>
      <c r="Y208" s="249">
        <f>12/20.9</f>
        <v>0.57416267942583732</v>
      </c>
      <c r="Z208" s="249">
        <f>12/20.9</f>
        <v>0.57416267942583732</v>
      </c>
      <c r="AA208" s="19"/>
      <c r="AB208" s="249">
        <f>12/20.9</f>
        <v>0.57416267942583732</v>
      </c>
      <c r="AC208" s="249">
        <f>12/20.9</f>
        <v>0.57416267942583732</v>
      </c>
      <c r="AD208" s="249">
        <f>12/20.9</f>
        <v>0.57416267942583732</v>
      </c>
      <c r="AE208" s="249">
        <f>12/20.9</f>
        <v>0.57416267942583732</v>
      </c>
      <c r="AF208" s="249">
        <f>12/20.9</f>
        <v>0.57416267942583732</v>
      </c>
      <c r="AG208" s="19"/>
      <c r="AH208" s="249">
        <f>12/20.9</f>
        <v>0.57416267942583732</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49">
        <v>1</v>
      </c>
      <c r="F210" s="249">
        <v>1</v>
      </c>
      <c r="G210" s="249">
        <v>1</v>
      </c>
      <c r="H210" s="249">
        <v>1</v>
      </c>
      <c r="I210" s="19"/>
      <c r="J210" s="249">
        <v>1</v>
      </c>
      <c r="K210" s="249">
        <v>1</v>
      </c>
      <c r="L210" s="249">
        <v>1</v>
      </c>
      <c r="M210" s="249">
        <v>1</v>
      </c>
      <c r="N210" s="249">
        <v>1</v>
      </c>
      <c r="O210" s="19"/>
      <c r="P210" s="249">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x14ac:dyDescent="0.2">
      <c r="A213" s="289"/>
      <c r="B213" s="284" t="s">
        <v>43</v>
      </c>
      <c r="C213" s="284"/>
      <c r="D213" s="273" t="s">
        <v>78</v>
      </c>
      <c r="E213" s="249">
        <v>0</v>
      </c>
      <c r="F213" s="249">
        <v>0</v>
      </c>
      <c r="G213" s="249">
        <v>0</v>
      </c>
      <c r="H213" s="249">
        <v>0</v>
      </c>
      <c r="I213" s="19"/>
      <c r="J213" s="249">
        <v>0</v>
      </c>
      <c r="K213" s="249">
        <v>0</v>
      </c>
      <c r="L213" s="249">
        <v>0</v>
      </c>
      <c r="M213" s="249">
        <v>0</v>
      </c>
      <c r="N213" s="249">
        <v>0</v>
      </c>
      <c r="O213" s="19"/>
      <c r="P213" s="249">
        <v>0</v>
      </c>
      <c r="Q213" s="249">
        <v>0</v>
      </c>
      <c r="R213" s="249">
        <v>0</v>
      </c>
      <c r="S213" s="249">
        <v>0</v>
      </c>
      <c r="T213" s="249">
        <v>0</v>
      </c>
      <c r="U213" s="19"/>
      <c r="V213" s="249">
        <v>0</v>
      </c>
      <c r="W213" s="249">
        <v>0</v>
      </c>
      <c r="X213" s="249">
        <v>0</v>
      </c>
      <c r="Y213" s="249">
        <v>0</v>
      </c>
      <c r="Z213" s="249">
        <v>0</v>
      </c>
      <c r="AA213" s="19"/>
      <c r="AB213" s="249">
        <v>0</v>
      </c>
      <c r="AC213" s="249">
        <v>0</v>
      </c>
      <c r="AD213" s="249">
        <v>0</v>
      </c>
      <c r="AE213" s="249">
        <v>0</v>
      </c>
      <c r="AF213" s="249">
        <v>0</v>
      </c>
      <c r="AG213" s="19"/>
      <c r="AH213" s="249">
        <v>0</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x14ac:dyDescent="0.2">
      <c r="A215" s="289"/>
      <c r="B215" s="284" t="s">
        <v>44</v>
      </c>
      <c r="C215" s="284"/>
      <c r="D215" s="273" t="s">
        <v>78</v>
      </c>
      <c r="E215" s="249">
        <v>0</v>
      </c>
      <c r="F215" s="249">
        <v>0</v>
      </c>
      <c r="G215" s="249">
        <v>0</v>
      </c>
      <c r="H215" s="249">
        <v>0</v>
      </c>
      <c r="I215" s="19"/>
      <c r="J215" s="249">
        <v>0</v>
      </c>
      <c r="K215" s="249">
        <v>0</v>
      </c>
      <c r="L215" s="249">
        <v>0</v>
      </c>
      <c r="M215" s="249">
        <v>0</v>
      </c>
      <c r="N215" s="249">
        <v>0</v>
      </c>
      <c r="O215" s="19"/>
      <c r="P215" s="249">
        <v>0</v>
      </c>
      <c r="Q215" s="249">
        <v>0</v>
      </c>
      <c r="R215" s="249">
        <v>0</v>
      </c>
      <c r="S215" s="249">
        <v>0</v>
      </c>
      <c r="T215" s="249">
        <v>0</v>
      </c>
      <c r="U215" s="19"/>
      <c r="V215" s="249">
        <v>0</v>
      </c>
      <c r="W215" s="249">
        <v>0</v>
      </c>
      <c r="X215" s="249">
        <v>0</v>
      </c>
      <c r="Y215" s="249">
        <v>0</v>
      </c>
      <c r="Z215" s="249">
        <v>0</v>
      </c>
      <c r="AA215" s="19"/>
      <c r="AB215" s="249">
        <v>0</v>
      </c>
      <c r="AC215" s="249">
        <v>0</v>
      </c>
      <c r="AD215" s="249">
        <v>0</v>
      </c>
      <c r="AE215" s="249">
        <v>0</v>
      </c>
      <c r="AF215" s="249">
        <v>0</v>
      </c>
      <c r="AG215" s="19"/>
      <c r="AH215" s="249">
        <v>0</v>
      </c>
    </row>
    <row r="216" spans="1:34"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x14ac:dyDescent="0.2">
      <c r="A217" s="289"/>
      <c r="B217" s="284" t="s">
        <v>153</v>
      </c>
      <c r="C217" s="284"/>
      <c r="D217" s="25" t="s">
        <v>100</v>
      </c>
      <c r="E217" s="250">
        <v>0</v>
      </c>
      <c r="F217" s="250">
        <v>0</v>
      </c>
      <c r="G217" s="250">
        <v>0</v>
      </c>
      <c r="H217" s="250">
        <v>0</v>
      </c>
      <c r="I217" s="26"/>
      <c r="J217" s="250">
        <v>0</v>
      </c>
      <c r="K217" s="250">
        <v>0</v>
      </c>
      <c r="L217" s="250">
        <v>0</v>
      </c>
      <c r="M217" s="250">
        <v>0</v>
      </c>
      <c r="N217" s="250">
        <v>0</v>
      </c>
      <c r="O217" s="26"/>
      <c r="P217" s="250">
        <v>0</v>
      </c>
      <c r="Q217" s="250">
        <v>0</v>
      </c>
      <c r="R217" s="250">
        <v>0</v>
      </c>
      <c r="S217" s="250">
        <v>0</v>
      </c>
      <c r="T217" s="250">
        <v>0</v>
      </c>
      <c r="U217" s="26"/>
      <c r="V217" s="250">
        <v>0</v>
      </c>
      <c r="W217" s="250">
        <v>0</v>
      </c>
      <c r="X217" s="250">
        <v>0</v>
      </c>
      <c r="Y217" s="250">
        <v>0</v>
      </c>
      <c r="Z217" s="250">
        <v>0</v>
      </c>
      <c r="AA217" s="26"/>
      <c r="AB217" s="250">
        <v>0</v>
      </c>
      <c r="AC217" s="250">
        <v>0</v>
      </c>
      <c r="AD217" s="250">
        <v>0</v>
      </c>
      <c r="AE217" s="250">
        <v>0</v>
      </c>
      <c r="AF217" s="250">
        <v>0</v>
      </c>
      <c r="AG217" s="26"/>
      <c r="AH217" s="250">
        <v>0</v>
      </c>
    </row>
    <row r="218" spans="1:34" ht="27.7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64" t="s">
        <v>105</v>
      </c>
      <c r="C225" s="264"/>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1:34" ht="15.75" customHeight="1" x14ac:dyDescent="0.2">
      <c r="A226" s="289"/>
      <c r="B226" s="284" t="s">
        <v>45</v>
      </c>
      <c r="C226" s="284"/>
      <c r="D226" s="25" t="s">
        <v>101</v>
      </c>
      <c r="E226" s="23">
        <v>811</v>
      </c>
      <c r="F226" s="23">
        <v>813</v>
      </c>
      <c r="G226" s="23">
        <v>814</v>
      </c>
      <c r="H226" s="23">
        <v>815</v>
      </c>
      <c r="I226" s="41"/>
      <c r="J226" s="41">
        <v>815</v>
      </c>
      <c r="K226" s="23">
        <v>816</v>
      </c>
      <c r="L226" s="23">
        <v>818</v>
      </c>
      <c r="M226" s="23">
        <v>819</v>
      </c>
      <c r="N226" s="23">
        <v>820</v>
      </c>
      <c r="O226" s="41"/>
      <c r="P226" s="41">
        <v>820</v>
      </c>
      <c r="Q226" s="23">
        <v>821</v>
      </c>
      <c r="R226" s="23">
        <v>823</v>
      </c>
      <c r="S226" s="23">
        <v>824</v>
      </c>
      <c r="T226" s="23">
        <v>825</v>
      </c>
      <c r="U226" s="23"/>
      <c r="V226" s="41">
        <v>825</v>
      </c>
      <c r="W226" s="23">
        <v>826</v>
      </c>
      <c r="X226" s="23">
        <v>828</v>
      </c>
      <c r="Y226" s="23">
        <v>829</v>
      </c>
      <c r="Z226" s="23">
        <v>830</v>
      </c>
      <c r="AA226" s="41"/>
      <c r="AB226" s="85">
        <v>830</v>
      </c>
      <c r="AC226" s="23">
        <v>831</v>
      </c>
      <c r="AD226" s="23">
        <v>833</v>
      </c>
      <c r="AE226" s="23">
        <v>834</v>
      </c>
      <c r="AF226" s="23">
        <v>835</v>
      </c>
      <c r="AG226" s="41"/>
      <c r="AH226" s="85">
        <v>835</v>
      </c>
    </row>
    <row r="227" spans="1:34" x14ac:dyDescent="0.2">
      <c r="A227" s="289"/>
      <c r="B227" s="284"/>
      <c r="C227" s="284"/>
      <c r="D227" s="25" t="s">
        <v>32</v>
      </c>
      <c r="E227" s="44">
        <v>12</v>
      </c>
      <c r="F227" s="44">
        <v>12</v>
      </c>
      <c r="G227" s="44">
        <v>12</v>
      </c>
      <c r="H227" s="44">
        <v>12</v>
      </c>
      <c r="I227" s="26"/>
      <c r="J227" s="41">
        <v>12</v>
      </c>
      <c r="K227" s="44">
        <v>12</v>
      </c>
      <c r="L227" s="44">
        <v>12</v>
      </c>
      <c r="M227" s="44">
        <v>12</v>
      </c>
      <c r="N227" s="44">
        <v>12</v>
      </c>
      <c r="O227" s="26"/>
      <c r="P227" s="41">
        <v>12</v>
      </c>
      <c r="Q227" s="44">
        <v>12</v>
      </c>
      <c r="R227" s="44">
        <v>12</v>
      </c>
      <c r="S227" s="44">
        <v>12</v>
      </c>
      <c r="T227" s="44">
        <v>12</v>
      </c>
      <c r="U227" s="44"/>
      <c r="V227" s="41">
        <v>12</v>
      </c>
      <c r="W227" s="44">
        <v>12</v>
      </c>
      <c r="X227" s="44">
        <v>12</v>
      </c>
      <c r="Y227" s="44">
        <v>12</v>
      </c>
      <c r="Z227" s="44">
        <v>12</v>
      </c>
      <c r="AA227" s="26"/>
      <c r="AB227" s="41">
        <v>12</v>
      </c>
      <c r="AC227" s="44">
        <v>12</v>
      </c>
      <c r="AD227" s="44">
        <v>12</v>
      </c>
      <c r="AE227" s="44">
        <v>12</v>
      </c>
      <c r="AF227" s="44">
        <v>12</v>
      </c>
      <c r="AG227" s="26"/>
      <c r="AH227" s="41">
        <v>12</v>
      </c>
    </row>
    <row r="228" spans="1:34" ht="15.75" customHeight="1" x14ac:dyDescent="0.2">
      <c r="A228" s="289"/>
      <c r="B228" s="284" t="s">
        <v>46</v>
      </c>
      <c r="C228" s="284"/>
      <c r="D228" s="25" t="s">
        <v>32</v>
      </c>
      <c r="E228" s="44">
        <v>12</v>
      </c>
      <c r="F228" s="44">
        <v>12</v>
      </c>
      <c r="G228" s="44">
        <v>12</v>
      </c>
      <c r="H228" s="44">
        <v>12</v>
      </c>
      <c r="I228" s="26"/>
      <c r="J228" s="41">
        <v>12</v>
      </c>
      <c r="K228" s="44">
        <v>12</v>
      </c>
      <c r="L228" s="44">
        <v>12</v>
      </c>
      <c r="M228" s="44">
        <v>12</v>
      </c>
      <c r="N228" s="44">
        <v>12</v>
      </c>
      <c r="O228" s="26"/>
      <c r="P228" s="41">
        <v>12</v>
      </c>
      <c r="Q228" s="44">
        <v>12</v>
      </c>
      <c r="R228" s="44">
        <v>12</v>
      </c>
      <c r="S228" s="44">
        <v>12</v>
      </c>
      <c r="T228" s="44">
        <v>12</v>
      </c>
      <c r="U228" s="44"/>
      <c r="V228" s="41">
        <v>12</v>
      </c>
      <c r="W228" s="44">
        <v>12</v>
      </c>
      <c r="X228" s="44">
        <v>12</v>
      </c>
      <c r="Y228" s="44">
        <v>12</v>
      </c>
      <c r="Z228" s="44">
        <v>12</v>
      </c>
      <c r="AA228" s="26"/>
      <c r="AB228" s="41">
        <v>12</v>
      </c>
      <c r="AC228" s="44">
        <v>12</v>
      </c>
      <c r="AD228" s="44">
        <v>12</v>
      </c>
      <c r="AE228" s="44">
        <v>12</v>
      </c>
      <c r="AF228" s="44">
        <v>12</v>
      </c>
      <c r="AG228" s="26"/>
      <c r="AH228" s="41">
        <v>12</v>
      </c>
    </row>
    <row r="229" spans="1:34" ht="28.8" customHeight="1" x14ac:dyDescent="0.2">
      <c r="A229" s="289"/>
      <c r="B229" s="284"/>
      <c r="C229" s="284"/>
      <c r="D229" s="25" t="s">
        <v>143</v>
      </c>
      <c r="E229" s="23">
        <v>1955</v>
      </c>
      <c r="F229" s="23">
        <v>1956</v>
      </c>
      <c r="G229" s="23">
        <v>1956</v>
      </c>
      <c r="H229" s="23">
        <v>1957</v>
      </c>
      <c r="I229" s="41"/>
      <c r="J229" s="41">
        <v>1957</v>
      </c>
      <c r="K229" s="23">
        <v>1958</v>
      </c>
      <c r="L229" s="23">
        <v>1959</v>
      </c>
      <c r="M229" s="23">
        <v>1959</v>
      </c>
      <c r="N229" s="23">
        <v>1960</v>
      </c>
      <c r="O229" s="41"/>
      <c r="P229" s="41">
        <v>1960</v>
      </c>
      <c r="Q229" s="23">
        <v>1961</v>
      </c>
      <c r="R229" s="23">
        <v>1963</v>
      </c>
      <c r="S229" s="23">
        <v>1964</v>
      </c>
      <c r="T229" s="23">
        <v>1965</v>
      </c>
      <c r="U229" s="23"/>
      <c r="V229" s="41">
        <v>1965</v>
      </c>
      <c r="W229" s="23">
        <v>1966</v>
      </c>
      <c r="X229" s="23">
        <v>1968</v>
      </c>
      <c r="Y229" s="23">
        <v>1969</v>
      </c>
      <c r="Z229" s="23">
        <v>1970</v>
      </c>
      <c r="AA229" s="41"/>
      <c r="AB229" s="41">
        <v>1970</v>
      </c>
      <c r="AC229" s="23">
        <v>1972</v>
      </c>
      <c r="AD229" s="23">
        <v>1974</v>
      </c>
      <c r="AE229" s="23">
        <v>1975</v>
      </c>
      <c r="AF229" s="23">
        <v>1977</v>
      </c>
      <c r="AG229" s="41"/>
      <c r="AH229" s="41">
        <v>1977</v>
      </c>
    </row>
    <row r="230" spans="1:34" ht="15.75" customHeight="1" x14ac:dyDescent="0.2">
      <c r="A230" s="289"/>
      <c r="B230" s="284" t="s">
        <v>47</v>
      </c>
      <c r="C230" s="284"/>
      <c r="D230" s="25" t="s">
        <v>32</v>
      </c>
      <c r="E230" s="45">
        <v>16</v>
      </c>
      <c r="F230" s="45">
        <v>16</v>
      </c>
      <c r="G230" s="45">
        <v>16</v>
      </c>
      <c r="H230" s="45">
        <v>16</v>
      </c>
      <c r="I230" s="41"/>
      <c r="J230" s="26">
        <v>16</v>
      </c>
      <c r="K230" s="45">
        <v>16</v>
      </c>
      <c r="L230" s="45">
        <v>16</v>
      </c>
      <c r="M230" s="45">
        <v>16</v>
      </c>
      <c r="N230" s="45">
        <v>16</v>
      </c>
      <c r="O230" s="26"/>
      <c r="P230" s="26">
        <v>16</v>
      </c>
      <c r="Q230" s="45">
        <v>16</v>
      </c>
      <c r="R230" s="45">
        <v>16</v>
      </c>
      <c r="S230" s="45">
        <v>16</v>
      </c>
      <c r="T230" s="45">
        <v>16</v>
      </c>
      <c r="U230" s="44"/>
      <c r="V230" s="26">
        <v>16</v>
      </c>
      <c r="W230" s="45">
        <v>16</v>
      </c>
      <c r="X230" s="45">
        <v>16</v>
      </c>
      <c r="Y230" s="45">
        <v>16</v>
      </c>
      <c r="Z230" s="45">
        <v>16</v>
      </c>
      <c r="AA230" s="26"/>
      <c r="AB230" s="26">
        <v>16</v>
      </c>
      <c r="AC230" s="45">
        <v>16</v>
      </c>
      <c r="AD230" s="45">
        <v>16</v>
      </c>
      <c r="AE230" s="45">
        <v>16</v>
      </c>
      <c r="AF230" s="45">
        <v>16</v>
      </c>
      <c r="AG230" s="26"/>
      <c r="AH230" s="26">
        <v>16</v>
      </c>
    </row>
    <row r="231" spans="1:34" ht="28.8" customHeight="1" x14ac:dyDescent="0.2">
      <c r="A231" s="289"/>
      <c r="B231" s="284"/>
      <c r="C231" s="284"/>
      <c r="D231" s="25" t="s">
        <v>143</v>
      </c>
      <c r="E231" s="23">
        <v>1955</v>
      </c>
      <c r="F231" s="23">
        <v>1956</v>
      </c>
      <c r="G231" s="23">
        <v>1956</v>
      </c>
      <c r="H231" s="23">
        <v>1957</v>
      </c>
      <c r="I231" s="41"/>
      <c r="J231" s="41">
        <v>1957</v>
      </c>
      <c r="K231" s="23">
        <v>1958</v>
      </c>
      <c r="L231" s="23">
        <v>1959</v>
      </c>
      <c r="M231" s="23">
        <v>1959</v>
      </c>
      <c r="N231" s="23">
        <v>1960</v>
      </c>
      <c r="O231" s="41"/>
      <c r="P231" s="41">
        <v>1960</v>
      </c>
      <c r="Q231" s="23">
        <v>1961</v>
      </c>
      <c r="R231" s="23">
        <v>1963</v>
      </c>
      <c r="S231" s="23">
        <v>1964</v>
      </c>
      <c r="T231" s="23">
        <v>1965</v>
      </c>
      <c r="U231" s="23"/>
      <c r="V231" s="41">
        <v>1965</v>
      </c>
      <c r="W231" s="23">
        <v>1966</v>
      </c>
      <c r="X231" s="23">
        <v>1968</v>
      </c>
      <c r="Y231" s="23">
        <v>1969</v>
      </c>
      <c r="Z231" s="23">
        <v>1970</v>
      </c>
      <c r="AA231" s="41"/>
      <c r="AB231" s="41">
        <v>1970</v>
      </c>
      <c r="AC231" s="23">
        <v>1972</v>
      </c>
      <c r="AD231" s="23">
        <v>1974</v>
      </c>
      <c r="AE231" s="23">
        <v>1975</v>
      </c>
      <c r="AF231" s="23">
        <v>1977</v>
      </c>
      <c r="AG231" s="41"/>
      <c r="AH231" s="41">
        <v>1977</v>
      </c>
    </row>
    <row r="232" spans="1:34" x14ac:dyDescent="0.2">
      <c r="A232" s="289"/>
      <c r="B232" s="284" t="s">
        <v>36</v>
      </c>
      <c r="C232" s="284"/>
      <c r="D232" s="25" t="s">
        <v>144</v>
      </c>
      <c r="E232" s="23">
        <v>0</v>
      </c>
      <c r="F232" s="23">
        <v>0</v>
      </c>
      <c r="G232" s="23">
        <v>0</v>
      </c>
      <c r="H232" s="23">
        <v>0</v>
      </c>
      <c r="I232" s="41"/>
      <c r="J232" s="41">
        <v>0</v>
      </c>
      <c r="K232" s="23">
        <v>0</v>
      </c>
      <c r="L232" s="23">
        <v>0</v>
      </c>
      <c r="M232" s="23">
        <v>0</v>
      </c>
      <c r="N232" s="23">
        <v>0</v>
      </c>
      <c r="O232" s="41"/>
      <c r="P232" s="41">
        <v>0</v>
      </c>
      <c r="Q232" s="23">
        <v>0</v>
      </c>
      <c r="R232" s="23">
        <v>0</v>
      </c>
      <c r="S232" s="23">
        <v>0</v>
      </c>
      <c r="T232" s="23">
        <v>0</v>
      </c>
      <c r="U232" s="41"/>
      <c r="V232" s="41">
        <v>0</v>
      </c>
      <c r="W232" s="23">
        <v>0</v>
      </c>
      <c r="X232" s="23">
        <v>0</v>
      </c>
      <c r="Y232" s="23">
        <v>0</v>
      </c>
      <c r="Z232" s="23">
        <v>0</v>
      </c>
      <c r="AA232" s="41"/>
      <c r="AB232" s="41">
        <v>0</v>
      </c>
      <c r="AC232" s="23">
        <v>0</v>
      </c>
      <c r="AD232" s="23">
        <v>0</v>
      </c>
      <c r="AE232" s="23">
        <v>0</v>
      </c>
      <c r="AF232" s="23">
        <v>0</v>
      </c>
      <c r="AG232" s="41"/>
      <c r="AH232" s="41">
        <v>0</v>
      </c>
    </row>
    <row r="233" spans="1:34" x14ac:dyDescent="0.2">
      <c r="A233" s="289"/>
      <c r="B233" s="284"/>
      <c r="C233" s="284"/>
      <c r="D233" s="25" t="s">
        <v>32</v>
      </c>
      <c r="E233" s="23">
        <v>0</v>
      </c>
      <c r="F233" s="23">
        <v>0</v>
      </c>
      <c r="G233" s="23">
        <v>0</v>
      </c>
      <c r="H233" s="23">
        <v>0</v>
      </c>
      <c r="I233" s="41"/>
      <c r="J233" s="41">
        <v>0</v>
      </c>
      <c r="K233" s="23">
        <v>0</v>
      </c>
      <c r="L233" s="23">
        <v>0</v>
      </c>
      <c r="M233" s="23">
        <v>0</v>
      </c>
      <c r="N233" s="23">
        <v>0</v>
      </c>
      <c r="O233" s="41"/>
      <c r="P233" s="41">
        <v>0</v>
      </c>
      <c r="Q233" s="23">
        <v>0</v>
      </c>
      <c r="R233" s="23">
        <v>0</v>
      </c>
      <c r="S233" s="23">
        <v>0</v>
      </c>
      <c r="T233" s="23">
        <v>0</v>
      </c>
      <c r="U233" s="41"/>
      <c r="V233" s="41">
        <v>0</v>
      </c>
      <c r="W233" s="23">
        <v>0</v>
      </c>
      <c r="X233" s="23">
        <v>0</v>
      </c>
      <c r="Y233" s="23">
        <v>0</v>
      </c>
      <c r="Z233" s="23">
        <v>0</v>
      </c>
      <c r="AA233" s="41"/>
      <c r="AB233" s="41">
        <v>0</v>
      </c>
      <c r="AC233" s="23">
        <v>0</v>
      </c>
      <c r="AD233" s="23">
        <v>0</v>
      </c>
      <c r="AE233" s="23">
        <v>0</v>
      </c>
      <c r="AF233" s="23">
        <v>0</v>
      </c>
      <c r="AG233" s="41"/>
      <c r="AH233" s="41">
        <v>0</v>
      </c>
    </row>
    <row r="234" spans="1:34" x14ac:dyDescent="0.2">
      <c r="A234" s="289"/>
      <c r="B234" s="284" t="s">
        <v>48</v>
      </c>
      <c r="C234" s="284"/>
      <c r="D234" s="24" t="s">
        <v>143</v>
      </c>
      <c r="E234" s="19">
        <v>0</v>
      </c>
      <c r="F234" s="19">
        <v>0</v>
      </c>
      <c r="G234" s="19">
        <v>0</v>
      </c>
      <c r="H234" s="19">
        <v>0</v>
      </c>
      <c r="I234" s="41"/>
      <c r="J234" s="47">
        <v>0</v>
      </c>
      <c r="K234" s="19">
        <v>0</v>
      </c>
      <c r="L234" s="19">
        <v>0</v>
      </c>
      <c r="M234" s="19">
        <v>0</v>
      </c>
      <c r="N234" s="19">
        <v>0</v>
      </c>
      <c r="O234" s="41"/>
      <c r="P234" s="47">
        <v>0</v>
      </c>
      <c r="Q234" s="19">
        <v>0</v>
      </c>
      <c r="R234" s="19">
        <v>0</v>
      </c>
      <c r="S234" s="19">
        <v>0</v>
      </c>
      <c r="T234" s="19">
        <v>0</v>
      </c>
      <c r="U234" s="41"/>
      <c r="V234" s="47">
        <v>0</v>
      </c>
      <c r="W234" s="19">
        <v>0</v>
      </c>
      <c r="X234" s="19">
        <v>0</v>
      </c>
      <c r="Y234" s="19">
        <v>0</v>
      </c>
      <c r="Z234" s="19">
        <v>0</v>
      </c>
      <c r="AA234" s="41"/>
      <c r="AB234" s="47">
        <v>0</v>
      </c>
      <c r="AC234" s="19">
        <v>0</v>
      </c>
      <c r="AD234" s="19">
        <v>0</v>
      </c>
      <c r="AE234" s="19">
        <v>0</v>
      </c>
      <c r="AF234" s="19">
        <v>0</v>
      </c>
      <c r="AG234" s="41"/>
      <c r="AH234" s="47">
        <v>0</v>
      </c>
    </row>
    <row r="235" spans="1:34" x14ac:dyDescent="0.2">
      <c r="A235" s="289"/>
      <c r="B235" s="284"/>
      <c r="C235" s="284"/>
      <c r="D235" s="24" t="s">
        <v>143</v>
      </c>
      <c r="E235" s="23">
        <v>5150</v>
      </c>
      <c r="F235" s="23">
        <v>5150</v>
      </c>
      <c r="G235" s="23">
        <v>5150</v>
      </c>
      <c r="H235" s="23">
        <v>5150</v>
      </c>
      <c r="I235" s="41"/>
      <c r="J235" s="47">
        <f>5140+10</f>
        <v>5150</v>
      </c>
      <c r="K235" s="41">
        <v>5160</v>
      </c>
      <c r="L235" s="41">
        <v>5160</v>
      </c>
      <c r="M235" s="41">
        <v>5160</v>
      </c>
      <c r="N235" s="41">
        <v>5160</v>
      </c>
      <c r="O235" s="41"/>
      <c r="P235" s="41">
        <v>5160</v>
      </c>
      <c r="Q235" s="23">
        <v>5170</v>
      </c>
      <c r="R235" s="23">
        <v>5170</v>
      </c>
      <c r="S235" s="23">
        <v>5170</v>
      </c>
      <c r="T235" s="23">
        <v>5170</v>
      </c>
      <c r="U235" s="41"/>
      <c r="V235" s="41">
        <v>5170</v>
      </c>
      <c r="W235" s="23">
        <v>5180</v>
      </c>
      <c r="X235" s="23">
        <v>5180</v>
      </c>
      <c r="Y235" s="23">
        <v>5180</v>
      </c>
      <c r="Z235" s="23">
        <v>5180</v>
      </c>
      <c r="AA235" s="41"/>
      <c r="AB235" s="41">
        <v>5180</v>
      </c>
      <c r="AC235" s="23">
        <v>5190</v>
      </c>
      <c r="AD235" s="23">
        <v>5190</v>
      </c>
      <c r="AE235" s="23">
        <v>5190</v>
      </c>
      <c r="AF235" s="23">
        <v>5190</v>
      </c>
      <c r="AG235" s="41"/>
      <c r="AH235" s="41">
        <v>5190</v>
      </c>
    </row>
    <row r="236" spans="1:34" x14ac:dyDescent="0.2">
      <c r="A236" s="17">
        <v>3.2</v>
      </c>
      <c r="B236" s="300">
        <v>5160</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866">
    <mergeCell ref="D17:D18"/>
    <mergeCell ref="I17:I18"/>
    <mergeCell ref="Q10:V10"/>
    <mergeCell ref="W10:AA10"/>
    <mergeCell ref="AC10:AG10"/>
    <mergeCell ref="E11:J11"/>
    <mergeCell ref="K11:O11"/>
    <mergeCell ref="Q11:U11"/>
    <mergeCell ref="W11:AA11"/>
    <mergeCell ref="AC11:AG11"/>
    <mergeCell ref="D15:D16"/>
    <mergeCell ref="I15:I16"/>
    <mergeCell ref="J15:J16"/>
    <mergeCell ref="O15:O16"/>
    <mergeCell ref="P15:P16"/>
    <mergeCell ref="V15:V16"/>
    <mergeCell ref="AB15:AB16"/>
    <mergeCell ref="F15:F16"/>
    <mergeCell ref="G15:G16"/>
    <mergeCell ref="AB17:AB18"/>
    <mergeCell ref="AH17:AH18"/>
    <mergeCell ref="E15:E16"/>
    <mergeCell ref="I19:I20"/>
    <mergeCell ref="J19:J20"/>
    <mergeCell ref="O19:O20"/>
    <mergeCell ref="P19:P20"/>
    <mergeCell ref="V19:V20"/>
    <mergeCell ref="N19:N20"/>
    <mergeCell ref="Q19:Q20"/>
    <mergeCell ref="R19:R20"/>
    <mergeCell ref="S19:S20"/>
    <mergeCell ref="AH19:AH20"/>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A15:AA16"/>
    <mergeCell ref="AH15:AH16"/>
    <mergeCell ref="D21:D22"/>
    <mergeCell ref="I21:I22"/>
    <mergeCell ref="J21:J22"/>
    <mergeCell ref="O21:O22"/>
    <mergeCell ref="P21:P22"/>
    <mergeCell ref="V21:V22"/>
    <mergeCell ref="AB21:AB22"/>
    <mergeCell ref="AH21:AH22"/>
    <mergeCell ref="D19:D20"/>
    <mergeCell ref="I23:I24"/>
    <mergeCell ref="J23:J24"/>
    <mergeCell ref="O23:O24"/>
    <mergeCell ref="P23:P24"/>
    <mergeCell ref="V23:V24"/>
    <mergeCell ref="L23:L24"/>
    <mergeCell ref="M23:M24"/>
    <mergeCell ref="N23:N24"/>
    <mergeCell ref="Q23:Q24"/>
    <mergeCell ref="AH23:AH24"/>
    <mergeCell ref="E19:E20"/>
    <mergeCell ref="F19:F20"/>
    <mergeCell ref="G19:G20"/>
    <mergeCell ref="H19:H20"/>
    <mergeCell ref="K19:K20"/>
    <mergeCell ref="L19:L20"/>
    <mergeCell ref="M19:M20"/>
    <mergeCell ref="T19:T20"/>
    <mergeCell ref="U19:U20"/>
    <mergeCell ref="W19:W20"/>
    <mergeCell ref="X19:X20"/>
    <mergeCell ref="Y19:Y20"/>
    <mergeCell ref="Z19:Z20"/>
    <mergeCell ref="D25:D26"/>
    <mergeCell ref="I25:I26"/>
    <mergeCell ref="J25:J26"/>
    <mergeCell ref="O25:O26"/>
    <mergeCell ref="P25:P26"/>
    <mergeCell ref="V25:V26"/>
    <mergeCell ref="AB25:AB26"/>
    <mergeCell ref="AH25:AH26"/>
    <mergeCell ref="D23:D24"/>
    <mergeCell ref="I27:I28"/>
    <mergeCell ref="J27:J28"/>
    <mergeCell ref="O27:O28"/>
    <mergeCell ref="P27:P28"/>
    <mergeCell ref="V27:V28"/>
    <mergeCell ref="N27:N28"/>
    <mergeCell ref="Q27:Q28"/>
    <mergeCell ref="R27:R28"/>
    <mergeCell ref="AH27:AH28"/>
    <mergeCell ref="E23:E24"/>
    <mergeCell ref="F23:F24"/>
    <mergeCell ref="G23:G24"/>
    <mergeCell ref="H23:H24"/>
    <mergeCell ref="K23:K24"/>
    <mergeCell ref="R23:R24"/>
    <mergeCell ref="S23:S24"/>
    <mergeCell ref="T23:T24"/>
    <mergeCell ref="U23:U24"/>
    <mergeCell ref="W23:W24"/>
    <mergeCell ref="X23:X24"/>
    <mergeCell ref="Y23:Y24"/>
    <mergeCell ref="Z23:Z24"/>
    <mergeCell ref="AA23:AA24"/>
    <mergeCell ref="D29:D30"/>
    <mergeCell ref="I29:I30"/>
    <mergeCell ref="J29:J30"/>
    <mergeCell ref="O29:O30"/>
    <mergeCell ref="P29:P30"/>
    <mergeCell ref="V29:V30"/>
    <mergeCell ref="AB29:AB30"/>
    <mergeCell ref="AH29:AH30"/>
    <mergeCell ref="D27:D28"/>
    <mergeCell ref="AH31:AH32"/>
    <mergeCell ref="D33:D34"/>
    <mergeCell ref="I33:I34"/>
    <mergeCell ref="J33:J34"/>
    <mergeCell ref="O33:O34"/>
    <mergeCell ref="P33:P34"/>
    <mergeCell ref="V33:V34"/>
    <mergeCell ref="AB33:AB34"/>
    <mergeCell ref="AH33:AH34"/>
    <mergeCell ref="D31:D32"/>
    <mergeCell ref="E27:E28"/>
    <mergeCell ref="F27:F28"/>
    <mergeCell ref="G27:G28"/>
    <mergeCell ref="H27:H28"/>
    <mergeCell ref="K27:K28"/>
    <mergeCell ref="L27:L28"/>
    <mergeCell ref="M27:M28"/>
    <mergeCell ref="S27:S28"/>
    <mergeCell ref="T27:T28"/>
    <mergeCell ref="U27:U28"/>
    <mergeCell ref="W27:W28"/>
    <mergeCell ref="X27:X28"/>
    <mergeCell ref="Y27:Y28"/>
    <mergeCell ref="I35:I36"/>
    <mergeCell ref="J35:J36"/>
    <mergeCell ref="O35:O36"/>
    <mergeCell ref="P35:P36"/>
    <mergeCell ref="V35:V36"/>
    <mergeCell ref="AB31:AB32"/>
    <mergeCell ref="I31:I32"/>
    <mergeCell ref="J31:J32"/>
    <mergeCell ref="O31:O32"/>
    <mergeCell ref="P31:P32"/>
    <mergeCell ref="AB35:AB36"/>
    <mergeCell ref="AH35:AH36"/>
    <mergeCell ref="D37:D38"/>
    <mergeCell ref="J37:J38"/>
    <mergeCell ref="O37:O38"/>
    <mergeCell ref="P37:P38"/>
    <mergeCell ref="V37:V38"/>
    <mergeCell ref="AB37:AB38"/>
    <mergeCell ref="AH37:AH38"/>
    <mergeCell ref="D35:D36"/>
    <mergeCell ref="E31:E32"/>
    <mergeCell ref="F31:F32"/>
    <mergeCell ref="G31:G32"/>
    <mergeCell ref="H31:H32"/>
    <mergeCell ref="K31:K32"/>
    <mergeCell ref="L31:L32"/>
    <mergeCell ref="M31:M32"/>
    <mergeCell ref="N31:N32"/>
    <mergeCell ref="Q31:Q32"/>
    <mergeCell ref="R31:R32"/>
    <mergeCell ref="S31:S32"/>
    <mergeCell ref="T31:T32"/>
    <mergeCell ref="J40:J41"/>
    <mergeCell ref="P40:P41"/>
    <mergeCell ref="V40:V41"/>
    <mergeCell ref="AB40:AB41"/>
    <mergeCell ref="K40:K41"/>
    <mergeCell ref="L40:L41"/>
    <mergeCell ref="AH40:AH41"/>
    <mergeCell ref="D42:D43"/>
    <mergeCell ref="I42:I43"/>
    <mergeCell ref="J42:J43"/>
    <mergeCell ref="P42:P43"/>
    <mergeCell ref="V42:V43"/>
    <mergeCell ref="AB42:AB43"/>
    <mergeCell ref="AH42:AH43"/>
    <mergeCell ref="D40:D41"/>
    <mergeCell ref="I40:I41"/>
    <mergeCell ref="D44:D45"/>
    <mergeCell ref="I44:I45"/>
    <mergeCell ref="J44:J45"/>
    <mergeCell ref="P44:P45"/>
    <mergeCell ref="V44:V45"/>
    <mergeCell ref="AB44:AB45"/>
    <mergeCell ref="D46:D47"/>
    <mergeCell ref="I46:I47"/>
    <mergeCell ref="J46:J47"/>
    <mergeCell ref="P46:P47"/>
    <mergeCell ref="V46:V47"/>
    <mergeCell ref="AB46:AB47"/>
    <mergeCell ref="P48:P49"/>
    <mergeCell ref="V48:V49"/>
    <mergeCell ref="AB48:AB49"/>
    <mergeCell ref="E48:E49"/>
    <mergeCell ref="F48:F49"/>
    <mergeCell ref="AH44:AH45"/>
    <mergeCell ref="AH46:AH47"/>
    <mergeCell ref="AH48:AH49"/>
    <mergeCell ref="D50:D51"/>
    <mergeCell ref="I50:I51"/>
    <mergeCell ref="J50:J51"/>
    <mergeCell ref="P50:P51"/>
    <mergeCell ref="V50:V51"/>
    <mergeCell ref="AB50:AB51"/>
    <mergeCell ref="AH50:AH51"/>
    <mergeCell ref="D48:D49"/>
    <mergeCell ref="I48:I49"/>
    <mergeCell ref="AE44:AE45"/>
    <mergeCell ref="AF44:AF45"/>
    <mergeCell ref="E46:E47"/>
    <mergeCell ref="F46:F47"/>
    <mergeCell ref="G46:G47"/>
    <mergeCell ref="H46:H47"/>
    <mergeCell ref="K46:K47"/>
    <mergeCell ref="L46:L47"/>
    <mergeCell ref="M46:M47"/>
    <mergeCell ref="V54:V55"/>
    <mergeCell ref="AB54:AB55"/>
    <mergeCell ref="AH54:AH55"/>
    <mergeCell ref="D52:D53"/>
    <mergeCell ref="I52:I53"/>
    <mergeCell ref="J52:J53"/>
    <mergeCell ref="P52:P53"/>
    <mergeCell ref="V52:V53"/>
    <mergeCell ref="AB52:AB53"/>
    <mergeCell ref="J56:J57"/>
    <mergeCell ref="P56:P57"/>
    <mergeCell ref="V56:V57"/>
    <mergeCell ref="AB56:AB57"/>
    <mergeCell ref="B58:AH58"/>
    <mergeCell ref="B59:C60"/>
    <mergeCell ref="B52:B57"/>
    <mergeCell ref="AH52:AH53"/>
    <mergeCell ref="D54:D55"/>
    <mergeCell ref="I54:I55"/>
    <mergeCell ref="AH56:AH57"/>
    <mergeCell ref="D59:D60"/>
    <mergeCell ref="I59:I60"/>
    <mergeCell ref="J59:J60"/>
    <mergeCell ref="P59:P60"/>
    <mergeCell ref="V59:V60"/>
    <mergeCell ref="AB59:AB60"/>
    <mergeCell ref="AH59:AH60"/>
    <mergeCell ref="D56:D57"/>
    <mergeCell ref="I56:I57"/>
    <mergeCell ref="E54:E55"/>
    <mergeCell ref="F54:F55"/>
    <mergeCell ref="G54:G55"/>
    <mergeCell ref="AH61:AH62"/>
    <mergeCell ref="D63:D64"/>
    <mergeCell ref="J63:J64"/>
    <mergeCell ref="P63:P64"/>
    <mergeCell ref="V63:V64"/>
    <mergeCell ref="AB63:AB64"/>
    <mergeCell ref="AH63:AH64"/>
    <mergeCell ref="D61:D62"/>
    <mergeCell ref="I61:I62"/>
    <mergeCell ref="J61:J62"/>
    <mergeCell ref="D65:D66"/>
    <mergeCell ref="J65:J66"/>
    <mergeCell ref="P65:P66"/>
    <mergeCell ref="V65:V66"/>
    <mergeCell ref="AB65:AB66"/>
    <mergeCell ref="AH65:AH66"/>
    <mergeCell ref="R65:R66"/>
    <mergeCell ref="S65:S66"/>
    <mergeCell ref="T65:T66"/>
    <mergeCell ref="W65:W66"/>
    <mergeCell ref="E61:E62"/>
    <mergeCell ref="F61:F62"/>
    <mergeCell ref="G61:G62"/>
    <mergeCell ref="H61:H62"/>
    <mergeCell ref="K61:K62"/>
    <mergeCell ref="L61:L62"/>
    <mergeCell ref="M61:M62"/>
    <mergeCell ref="N61:N62"/>
    <mergeCell ref="Q61:Q62"/>
    <mergeCell ref="R61:R62"/>
    <mergeCell ref="S61:S62"/>
    <mergeCell ref="P61:P62"/>
    <mergeCell ref="D67:D68"/>
    <mergeCell ref="J67:J68"/>
    <mergeCell ref="P67:P68"/>
    <mergeCell ref="V67:V68"/>
    <mergeCell ref="AB67:AB68"/>
    <mergeCell ref="AH67:AH68"/>
    <mergeCell ref="R67:R68"/>
    <mergeCell ref="S67:S68"/>
    <mergeCell ref="T67:T68"/>
    <mergeCell ref="W67:W68"/>
    <mergeCell ref="D69:D70"/>
    <mergeCell ref="J69:J70"/>
    <mergeCell ref="P69:P70"/>
    <mergeCell ref="V69:V70"/>
    <mergeCell ref="AB69:AB70"/>
    <mergeCell ref="AH69:AH70"/>
    <mergeCell ref="R69:R70"/>
    <mergeCell ref="S69:S70"/>
    <mergeCell ref="T69:T70"/>
    <mergeCell ref="W69:W70"/>
    <mergeCell ref="E69:E70"/>
    <mergeCell ref="F69:F70"/>
    <mergeCell ref="G69:G70"/>
    <mergeCell ref="H69:H70"/>
    <mergeCell ref="K69:K70"/>
    <mergeCell ref="L69:L70"/>
    <mergeCell ref="M69:M70"/>
    <mergeCell ref="N69:N70"/>
    <mergeCell ref="Q69:Q70"/>
    <mergeCell ref="X69:X70"/>
    <mergeCell ref="Y69:Y70"/>
    <mergeCell ref="Z69:Z70"/>
    <mergeCell ref="D71:D72"/>
    <mergeCell ref="J71:J72"/>
    <mergeCell ref="P71:P72"/>
    <mergeCell ref="V71:V72"/>
    <mergeCell ref="AB71:AB72"/>
    <mergeCell ref="AH71:AH72"/>
    <mergeCell ref="R71:R72"/>
    <mergeCell ref="S71:S72"/>
    <mergeCell ref="T71:T72"/>
    <mergeCell ref="W71:W72"/>
    <mergeCell ref="D74:D75"/>
    <mergeCell ref="J74:J75"/>
    <mergeCell ref="P74:P75"/>
    <mergeCell ref="V74:V75"/>
    <mergeCell ref="AB74:AB75"/>
    <mergeCell ref="AH74:AH75"/>
    <mergeCell ref="R74:R75"/>
    <mergeCell ref="S74:S75"/>
    <mergeCell ref="T74:T75"/>
    <mergeCell ref="W74:W75"/>
    <mergeCell ref="E74:E75"/>
    <mergeCell ref="F74:F75"/>
    <mergeCell ref="G74:G75"/>
    <mergeCell ref="H74:H75"/>
    <mergeCell ref="K74:K75"/>
    <mergeCell ref="L74:L75"/>
    <mergeCell ref="M74:M75"/>
    <mergeCell ref="N74:N75"/>
    <mergeCell ref="Q74:Q75"/>
    <mergeCell ref="X74:X75"/>
    <mergeCell ref="Y74:Y75"/>
    <mergeCell ref="Z74:Z75"/>
    <mergeCell ref="AH78:AH79"/>
    <mergeCell ref="J83:J84"/>
    <mergeCell ref="P83:P84"/>
    <mergeCell ref="V83:V84"/>
    <mergeCell ref="AB83:AB84"/>
    <mergeCell ref="AH83:AH84"/>
    <mergeCell ref="J85:J86"/>
    <mergeCell ref="P85:P86"/>
    <mergeCell ref="V85:V86"/>
    <mergeCell ref="AB85:AB86"/>
    <mergeCell ref="AH85:AH86"/>
    <mergeCell ref="J87:J88"/>
    <mergeCell ref="P87:P88"/>
    <mergeCell ref="V87:V88"/>
    <mergeCell ref="AB87:AB88"/>
    <mergeCell ref="AH87:AH88"/>
    <mergeCell ref="AD83:AD84"/>
    <mergeCell ref="AE83:AE84"/>
    <mergeCell ref="AF83:AF84"/>
    <mergeCell ref="AD85:AD86"/>
    <mergeCell ref="AE85:AE86"/>
    <mergeCell ref="AF85:AF86"/>
    <mergeCell ref="AD87:AD88"/>
    <mergeCell ref="AE87:AE88"/>
    <mergeCell ref="AF87:AF88"/>
    <mergeCell ref="B81:AH81"/>
    <mergeCell ref="B80:AH80"/>
    <mergeCell ref="AH89:AH90"/>
    <mergeCell ref="J91:J92"/>
    <mergeCell ref="P91:P92"/>
    <mergeCell ref="V91:V92"/>
    <mergeCell ref="AB91:AB92"/>
    <mergeCell ref="AH91:AH92"/>
    <mergeCell ref="AH98:AH99"/>
    <mergeCell ref="J93:J94"/>
    <mergeCell ref="P93:P94"/>
    <mergeCell ref="V93:V94"/>
    <mergeCell ref="AB93:AB94"/>
    <mergeCell ref="AH93:AH94"/>
    <mergeCell ref="J96:J97"/>
    <mergeCell ref="P96:P97"/>
    <mergeCell ref="V96:V97"/>
    <mergeCell ref="AB96:AB97"/>
    <mergeCell ref="AD89:AD90"/>
    <mergeCell ref="AE89:AE90"/>
    <mergeCell ref="AF89:AF90"/>
    <mergeCell ref="AD91:AD92"/>
    <mergeCell ref="AE91:AE92"/>
    <mergeCell ref="AF91:AF92"/>
    <mergeCell ref="AD93:AD94"/>
    <mergeCell ref="AE93:AE94"/>
    <mergeCell ref="AF93:AF94"/>
    <mergeCell ref="AH100:AH101"/>
    <mergeCell ref="AH96:AH97"/>
    <mergeCell ref="J98:J99"/>
    <mergeCell ref="P98:P99"/>
    <mergeCell ref="V98:V99"/>
    <mergeCell ref="AB98:AB99"/>
    <mergeCell ref="J102:J103"/>
    <mergeCell ref="P102:P103"/>
    <mergeCell ref="V102:V103"/>
    <mergeCell ref="AB102:AB103"/>
    <mergeCell ref="AH102:AH103"/>
    <mergeCell ref="J104:J105"/>
    <mergeCell ref="P104:P105"/>
    <mergeCell ref="V104:V105"/>
    <mergeCell ref="AB104:AB105"/>
    <mergeCell ref="AH104:AH105"/>
    <mergeCell ref="AD96:AD97"/>
    <mergeCell ref="AE96:AE97"/>
    <mergeCell ref="AF96:AF97"/>
    <mergeCell ref="AD98:AD99"/>
    <mergeCell ref="AE98:AE99"/>
    <mergeCell ref="AF98:AF99"/>
    <mergeCell ref="AD100:AD101"/>
    <mergeCell ref="AE100:AE101"/>
    <mergeCell ref="AF100:AF101"/>
    <mergeCell ref="AD102:AD103"/>
    <mergeCell ref="AE102:AE103"/>
    <mergeCell ref="AF102:AF103"/>
    <mergeCell ref="J106:J107"/>
    <mergeCell ref="P106:P107"/>
    <mergeCell ref="V106:V107"/>
    <mergeCell ref="AB106:AB107"/>
    <mergeCell ref="AH106:AH107"/>
    <mergeCell ref="J110:J111"/>
    <mergeCell ref="P110:P111"/>
    <mergeCell ref="V110:V111"/>
    <mergeCell ref="AB110:AB111"/>
    <mergeCell ref="AH110:AH111"/>
    <mergeCell ref="J112:J113"/>
    <mergeCell ref="P112:P113"/>
    <mergeCell ref="V112:V113"/>
    <mergeCell ref="AB112:AB113"/>
    <mergeCell ref="AH112:AH113"/>
    <mergeCell ref="J114:J115"/>
    <mergeCell ref="P114:P115"/>
    <mergeCell ref="V114:V115"/>
    <mergeCell ref="AB114:AB115"/>
    <mergeCell ref="AH114:AH115"/>
    <mergeCell ref="AD110:AD111"/>
    <mergeCell ref="AE110:AE111"/>
    <mergeCell ref="AF110:AF111"/>
    <mergeCell ref="AD112:AD113"/>
    <mergeCell ref="AE112:AE113"/>
    <mergeCell ref="AF112:AF113"/>
    <mergeCell ref="AD114:AD115"/>
    <mergeCell ref="AE114:AE115"/>
    <mergeCell ref="AF114:AF115"/>
    <mergeCell ref="AH116:AH117"/>
    <mergeCell ref="J118:J119"/>
    <mergeCell ref="P118:P119"/>
    <mergeCell ref="V118:V119"/>
    <mergeCell ref="AB118:AB119"/>
    <mergeCell ref="AH118:AH119"/>
    <mergeCell ref="J120:J121"/>
    <mergeCell ref="P120:P121"/>
    <mergeCell ref="V120:V121"/>
    <mergeCell ref="AB120:AB121"/>
    <mergeCell ref="AH120:AH121"/>
    <mergeCell ref="J122:J123"/>
    <mergeCell ref="P122:P123"/>
    <mergeCell ref="V122:V123"/>
    <mergeCell ref="AB122:AB123"/>
    <mergeCell ref="AH122:AH123"/>
    <mergeCell ref="AD116:AD117"/>
    <mergeCell ref="AE116:AE117"/>
    <mergeCell ref="AF116:AF117"/>
    <mergeCell ref="AD118:AD119"/>
    <mergeCell ref="AE118:AE119"/>
    <mergeCell ref="AF118:AF119"/>
    <mergeCell ref="AD120:AD121"/>
    <mergeCell ref="AE120:AE121"/>
    <mergeCell ref="AF120:AF121"/>
    <mergeCell ref="AD122:AD123"/>
    <mergeCell ref="AE122:AE123"/>
    <mergeCell ref="AF122:AF123"/>
    <mergeCell ref="AH127:AH128"/>
    <mergeCell ref="J129:J130"/>
    <mergeCell ref="P129:P130"/>
    <mergeCell ref="V129:V130"/>
    <mergeCell ref="AB129:AB130"/>
    <mergeCell ref="AH129:AH130"/>
    <mergeCell ref="J131:J132"/>
    <mergeCell ref="P131:P132"/>
    <mergeCell ref="V131:V132"/>
    <mergeCell ref="AB131:AB132"/>
    <mergeCell ref="AH131:AH132"/>
    <mergeCell ref="J133:J134"/>
    <mergeCell ref="P133:P134"/>
    <mergeCell ref="V133:V134"/>
    <mergeCell ref="AB133:AB134"/>
    <mergeCell ref="AH133:AH134"/>
    <mergeCell ref="AD127:AD128"/>
    <mergeCell ref="AE127:AE128"/>
    <mergeCell ref="AF127:AF128"/>
    <mergeCell ref="AD129:AD130"/>
    <mergeCell ref="AE129:AE130"/>
    <mergeCell ref="AF129:AF130"/>
    <mergeCell ref="AD131:AD132"/>
    <mergeCell ref="AE131:AE132"/>
    <mergeCell ref="AF131:AF132"/>
    <mergeCell ref="AD133:AD134"/>
    <mergeCell ref="AE133:AE134"/>
    <mergeCell ref="AF133:AF134"/>
    <mergeCell ref="AH135:AH136"/>
    <mergeCell ref="J137:J138"/>
    <mergeCell ref="P137:P138"/>
    <mergeCell ref="V137:V138"/>
    <mergeCell ref="AB137:AB138"/>
    <mergeCell ref="AH137:AH138"/>
    <mergeCell ref="J139:J140"/>
    <mergeCell ref="P139:P140"/>
    <mergeCell ref="V139:V140"/>
    <mergeCell ref="AB139:AB140"/>
    <mergeCell ref="AH139:AH140"/>
    <mergeCell ref="J141:J142"/>
    <mergeCell ref="P141:P142"/>
    <mergeCell ref="V141:V142"/>
    <mergeCell ref="AB141:AB142"/>
    <mergeCell ref="AH141:AH142"/>
    <mergeCell ref="AD135:AD136"/>
    <mergeCell ref="AE135:AE136"/>
    <mergeCell ref="AF135:AF136"/>
    <mergeCell ref="AD137:AD138"/>
    <mergeCell ref="AE137:AE138"/>
    <mergeCell ref="AF137:AF138"/>
    <mergeCell ref="AD139:AD140"/>
    <mergeCell ref="AE139:AE140"/>
    <mergeCell ref="AF139:AF140"/>
    <mergeCell ref="AD141:AD142"/>
    <mergeCell ref="AE141:AE142"/>
    <mergeCell ref="AF141:AF142"/>
    <mergeCell ref="AH146:AH147"/>
    <mergeCell ref="J148:J149"/>
    <mergeCell ref="P148:P149"/>
    <mergeCell ref="V148:V149"/>
    <mergeCell ref="AB148:AB149"/>
    <mergeCell ref="AH148:AH149"/>
    <mergeCell ref="J150:J151"/>
    <mergeCell ref="P150:P151"/>
    <mergeCell ref="V150:V151"/>
    <mergeCell ref="AB150:AB151"/>
    <mergeCell ref="AH150:AH151"/>
    <mergeCell ref="J153:J154"/>
    <mergeCell ref="P153:P154"/>
    <mergeCell ref="V153:V154"/>
    <mergeCell ref="AB153:AB154"/>
    <mergeCell ref="AH153:AH154"/>
    <mergeCell ref="AD153:AD154"/>
    <mergeCell ref="AE153:AE154"/>
    <mergeCell ref="AF153:AF154"/>
    <mergeCell ref="AD146:AD147"/>
    <mergeCell ref="AE146:AE147"/>
    <mergeCell ref="AF146:AF147"/>
    <mergeCell ref="AD148:AD149"/>
    <mergeCell ref="AE148:AE149"/>
    <mergeCell ref="AF148:AF149"/>
    <mergeCell ref="AD150:AD151"/>
    <mergeCell ref="AE150:AE151"/>
    <mergeCell ref="AF150:AF151"/>
    <mergeCell ref="AH155:AH156"/>
    <mergeCell ref="J157:J158"/>
    <mergeCell ref="P157:P158"/>
    <mergeCell ref="V157:V158"/>
    <mergeCell ref="AB157:AB158"/>
    <mergeCell ref="AH157:AH158"/>
    <mergeCell ref="J159:J160"/>
    <mergeCell ref="P159:P160"/>
    <mergeCell ref="V159:V160"/>
    <mergeCell ref="AB159:AB160"/>
    <mergeCell ref="AH159:AH160"/>
    <mergeCell ref="J161:J162"/>
    <mergeCell ref="P161:P162"/>
    <mergeCell ref="V161:V162"/>
    <mergeCell ref="AB161:AB162"/>
    <mergeCell ref="AH161:AH162"/>
    <mergeCell ref="AD155:AD156"/>
    <mergeCell ref="AE155:AE156"/>
    <mergeCell ref="AF155:AF156"/>
    <mergeCell ref="AD157:AD158"/>
    <mergeCell ref="AE157:AE158"/>
    <mergeCell ref="AF157:AF158"/>
    <mergeCell ref="AD159:AD160"/>
    <mergeCell ref="AE159:AE160"/>
    <mergeCell ref="AF159:AF160"/>
    <mergeCell ref="AD161:AD162"/>
    <mergeCell ref="AE161:AE162"/>
    <mergeCell ref="AF161:AF162"/>
    <mergeCell ref="AH163:AH164"/>
    <mergeCell ref="J165:J166"/>
    <mergeCell ref="P165:P166"/>
    <mergeCell ref="V165:V166"/>
    <mergeCell ref="AB165:AB166"/>
    <mergeCell ref="AH165:AH166"/>
    <mergeCell ref="J167:J168"/>
    <mergeCell ref="P167:P168"/>
    <mergeCell ref="V167:V168"/>
    <mergeCell ref="AB167:AB168"/>
    <mergeCell ref="AH167:AH168"/>
    <mergeCell ref="J169:J170"/>
    <mergeCell ref="P169:P170"/>
    <mergeCell ref="V169:V170"/>
    <mergeCell ref="AB169:AB170"/>
    <mergeCell ref="AH169:AH170"/>
    <mergeCell ref="AD163:AD164"/>
    <mergeCell ref="AE163:AE164"/>
    <mergeCell ref="AF163:AF164"/>
    <mergeCell ref="AD165:AD166"/>
    <mergeCell ref="AE165:AE166"/>
    <mergeCell ref="AF165:AF166"/>
    <mergeCell ref="AD167:AD168"/>
    <mergeCell ref="AE167:AE168"/>
    <mergeCell ref="AF167:AF168"/>
    <mergeCell ref="AD169:AD170"/>
    <mergeCell ref="AE169:AE170"/>
    <mergeCell ref="AF169:AF170"/>
    <mergeCell ref="AH171:AH172"/>
    <mergeCell ref="J173:J174"/>
    <mergeCell ref="P173:P174"/>
    <mergeCell ref="V173:V174"/>
    <mergeCell ref="AB173:AB174"/>
    <mergeCell ref="AH173:AH174"/>
    <mergeCell ref="J175:J176"/>
    <mergeCell ref="P175:P176"/>
    <mergeCell ref="V175:V176"/>
    <mergeCell ref="AB175:AB176"/>
    <mergeCell ref="AH175:AH176"/>
    <mergeCell ref="J177:J178"/>
    <mergeCell ref="P177:P178"/>
    <mergeCell ref="V177:V178"/>
    <mergeCell ref="AB177:AB178"/>
    <mergeCell ref="AH177:AH178"/>
    <mergeCell ref="AD171:AD172"/>
    <mergeCell ref="AE171:AE172"/>
    <mergeCell ref="AF171:AF172"/>
    <mergeCell ref="AD173:AD174"/>
    <mergeCell ref="AE173:AE174"/>
    <mergeCell ref="AF173:AF174"/>
    <mergeCell ref="AD175:AD176"/>
    <mergeCell ref="AE175:AE176"/>
    <mergeCell ref="AF175:AF176"/>
    <mergeCell ref="AD177:AD178"/>
    <mergeCell ref="AE177:AE178"/>
    <mergeCell ref="AF177:AF178"/>
    <mergeCell ref="AH179:AH180"/>
    <mergeCell ref="J181:J182"/>
    <mergeCell ref="P181:P182"/>
    <mergeCell ref="V181:V182"/>
    <mergeCell ref="AB181:AB182"/>
    <mergeCell ref="AH181:AH182"/>
    <mergeCell ref="J183:J184"/>
    <mergeCell ref="P183:P184"/>
    <mergeCell ref="V183:V184"/>
    <mergeCell ref="AB183:AB184"/>
    <mergeCell ref="AH183:AH184"/>
    <mergeCell ref="J185:J186"/>
    <mergeCell ref="P185:P186"/>
    <mergeCell ref="V185:V186"/>
    <mergeCell ref="AB185:AB186"/>
    <mergeCell ref="AH185:AH186"/>
    <mergeCell ref="AD179:AD180"/>
    <mergeCell ref="AE179:AE180"/>
    <mergeCell ref="AF179:AF180"/>
    <mergeCell ref="AD181:AD182"/>
    <mergeCell ref="AE181:AE182"/>
    <mergeCell ref="AF181:AF182"/>
    <mergeCell ref="AD183:AD184"/>
    <mergeCell ref="AE183:AE184"/>
    <mergeCell ref="AF183:AF184"/>
    <mergeCell ref="AD185:AD186"/>
    <mergeCell ref="AE185:AE186"/>
    <mergeCell ref="AF185:AF186"/>
    <mergeCell ref="AB187:AB188"/>
    <mergeCell ref="AH187:AH188"/>
    <mergeCell ref="J190:J191"/>
    <mergeCell ref="P190:P191"/>
    <mergeCell ref="V190:V191"/>
    <mergeCell ref="AB190:AB191"/>
    <mergeCell ref="AH190:AH191"/>
    <mergeCell ref="J192:J193"/>
    <mergeCell ref="P192:P193"/>
    <mergeCell ref="V192:V193"/>
    <mergeCell ref="AB192:AB193"/>
    <mergeCell ref="AH192:AH193"/>
    <mergeCell ref="D196:D197"/>
    <mergeCell ref="J196:J197"/>
    <mergeCell ref="P196:P197"/>
    <mergeCell ref="V196:V197"/>
    <mergeCell ref="AB196:AB197"/>
    <mergeCell ref="AH196:AH197"/>
    <mergeCell ref="E187:E188"/>
    <mergeCell ref="F187:F188"/>
    <mergeCell ref="G187:G188"/>
    <mergeCell ref="H187:H188"/>
    <mergeCell ref="K187:K188"/>
    <mergeCell ref="L187:L188"/>
    <mergeCell ref="M187:M188"/>
    <mergeCell ref="N187:N188"/>
    <mergeCell ref="Q187:Q188"/>
    <mergeCell ref="R187:R188"/>
    <mergeCell ref="S187:S188"/>
    <mergeCell ref="B195:AH195"/>
    <mergeCell ref="B194:AH194"/>
    <mergeCell ref="B189:AH189"/>
    <mergeCell ref="J198:J199"/>
    <mergeCell ref="P198:P199"/>
    <mergeCell ref="V198:V199"/>
    <mergeCell ref="AB198:AB199"/>
    <mergeCell ref="AH198:AH199"/>
    <mergeCell ref="T196:T197"/>
    <mergeCell ref="Q198:Q199"/>
    <mergeCell ref="R198:R199"/>
    <mergeCell ref="S198:S199"/>
    <mergeCell ref="J200:J201"/>
    <mergeCell ref="P200:P201"/>
    <mergeCell ref="V200:V201"/>
    <mergeCell ref="AB200:AB201"/>
    <mergeCell ref="AH200:AH201"/>
    <mergeCell ref="D202:D203"/>
    <mergeCell ref="J202:J203"/>
    <mergeCell ref="P202:P203"/>
    <mergeCell ref="V202:V203"/>
    <mergeCell ref="AB202:AB203"/>
    <mergeCell ref="G198:G199"/>
    <mergeCell ref="H198:H199"/>
    <mergeCell ref="E200:E201"/>
    <mergeCell ref="F200:F201"/>
    <mergeCell ref="G200:G201"/>
    <mergeCell ref="H200:H201"/>
    <mergeCell ref="T198:T199"/>
    <mergeCell ref="Q200:Q201"/>
    <mergeCell ref="R200:R201"/>
    <mergeCell ref="S200:S201"/>
    <mergeCell ref="T200:T201"/>
    <mergeCell ref="Q202:Q203"/>
    <mergeCell ref="R202:R203"/>
    <mergeCell ref="AH206:AH207"/>
    <mergeCell ref="AH202:AH203"/>
    <mergeCell ref="D204:D205"/>
    <mergeCell ref="J204:J205"/>
    <mergeCell ref="P204:P205"/>
    <mergeCell ref="V204:V205"/>
    <mergeCell ref="AB204:AB205"/>
    <mergeCell ref="AH204:AH205"/>
    <mergeCell ref="E202:E203"/>
    <mergeCell ref="F202:F203"/>
    <mergeCell ref="J208:J209"/>
    <mergeCell ref="P208:P209"/>
    <mergeCell ref="V208:V209"/>
    <mergeCell ref="AB208:AB209"/>
    <mergeCell ref="AH208:AH209"/>
    <mergeCell ref="D206:D207"/>
    <mergeCell ref="J206:J207"/>
    <mergeCell ref="P206:P207"/>
    <mergeCell ref="V206:V207"/>
    <mergeCell ref="AB206:AB207"/>
    <mergeCell ref="G202:G203"/>
    <mergeCell ref="H202:H203"/>
    <mergeCell ref="E204:E205"/>
    <mergeCell ref="F204:F205"/>
    <mergeCell ref="G204:G205"/>
    <mergeCell ref="H204:H205"/>
    <mergeCell ref="E206:E207"/>
    <mergeCell ref="F206:F207"/>
    <mergeCell ref="G206:G207"/>
    <mergeCell ref="H206:H207"/>
    <mergeCell ref="E208:E209"/>
    <mergeCell ref="F208:F209"/>
    <mergeCell ref="AH213:AH214"/>
    <mergeCell ref="D210:D211"/>
    <mergeCell ref="J210:J211"/>
    <mergeCell ref="P210:P211"/>
    <mergeCell ref="V210:V211"/>
    <mergeCell ref="AB210:AB211"/>
    <mergeCell ref="AH210:AH211"/>
    <mergeCell ref="E210:E211"/>
    <mergeCell ref="F210:F211"/>
    <mergeCell ref="G210:G211"/>
    <mergeCell ref="J215:J216"/>
    <mergeCell ref="P215:P216"/>
    <mergeCell ref="V215:V216"/>
    <mergeCell ref="AB215:AB216"/>
    <mergeCell ref="AH215:AH216"/>
    <mergeCell ref="D213:D214"/>
    <mergeCell ref="J213:J214"/>
    <mergeCell ref="P213:P214"/>
    <mergeCell ref="V213:V214"/>
    <mergeCell ref="AB213:AB214"/>
    <mergeCell ref="L210:L211"/>
    <mergeCell ref="M210:M211"/>
    <mergeCell ref="N210:N211"/>
    <mergeCell ref="E213:E214"/>
    <mergeCell ref="F213:F214"/>
    <mergeCell ref="G213:G214"/>
    <mergeCell ref="H213:H214"/>
    <mergeCell ref="E215:E216"/>
    <mergeCell ref="F215:F216"/>
    <mergeCell ref="G215:G216"/>
    <mergeCell ref="H215:H216"/>
    <mergeCell ref="B212:AH212"/>
    <mergeCell ref="AB217:AB218"/>
    <mergeCell ref="AH217:AH218"/>
    <mergeCell ref="G222:H222"/>
    <mergeCell ref="M222:N222"/>
    <mergeCell ref="S222:T222"/>
    <mergeCell ref="Y222:Z222"/>
    <mergeCell ref="AE222:AF222"/>
    <mergeCell ref="J237:J238"/>
    <mergeCell ref="P237:P238"/>
    <mergeCell ref="V237:V238"/>
    <mergeCell ref="AB237:AB238"/>
    <mergeCell ref="AH237:AH238"/>
    <mergeCell ref="J239:J240"/>
    <mergeCell ref="P239:P240"/>
    <mergeCell ref="V239:V240"/>
    <mergeCell ref="AB239:AB240"/>
    <mergeCell ref="AH239:AH240"/>
    <mergeCell ref="AD239:AD240"/>
    <mergeCell ref="AE239:AE240"/>
    <mergeCell ref="AF239:AF240"/>
    <mergeCell ref="K217:K218"/>
    <mergeCell ref="L217:L218"/>
    <mergeCell ref="M217:M218"/>
    <mergeCell ref="N217:N218"/>
    <mergeCell ref="AC217:AC218"/>
    <mergeCell ref="AD217:AD218"/>
    <mergeCell ref="AE217:AE218"/>
    <mergeCell ref="AF217:AF218"/>
    <mergeCell ref="Y217:Y218"/>
    <mergeCell ref="B236:AH236"/>
    <mergeCell ref="AH241:AH242"/>
    <mergeCell ref="J243:J244"/>
    <mergeCell ref="P243:P244"/>
    <mergeCell ref="V243:V244"/>
    <mergeCell ref="AB243:AB244"/>
    <mergeCell ref="AH243:AH244"/>
    <mergeCell ref="J245:J246"/>
    <mergeCell ref="P245:P246"/>
    <mergeCell ref="V245:V246"/>
    <mergeCell ref="AB245:AB246"/>
    <mergeCell ref="AH245:AH246"/>
    <mergeCell ref="J247:J248"/>
    <mergeCell ref="P247:P248"/>
    <mergeCell ref="V247:V248"/>
    <mergeCell ref="AB247:AB248"/>
    <mergeCell ref="AH247:AH248"/>
    <mergeCell ref="AD241:AD242"/>
    <mergeCell ref="AE241:AE242"/>
    <mergeCell ref="AF241:AF242"/>
    <mergeCell ref="Z243:Z244"/>
    <mergeCell ref="AC243:AC244"/>
    <mergeCell ref="AD243:AD244"/>
    <mergeCell ref="AE243:AE244"/>
    <mergeCell ref="AF243:AF244"/>
    <mergeCell ref="AD245:AD246"/>
    <mergeCell ref="AE245:AE246"/>
    <mergeCell ref="AF245:AF246"/>
    <mergeCell ref="AD247:AD248"/>
    <mergeCell ref="J249:J250"/>
    <mergeCell ref="P249:P250"/>
    <mergeCell ref="V249:V250"/>
    <mergeCell ref="AB249:AB250"/>
    <mergeCell ref="AH249:AH250"/>
    <mergeCell ref="J251:J252"/>
    <mergeCell ref="P251:P252"/>
    <mergeCell ref="V251:V252"/>
    <mergeCell ref="AB251:AB252"/>
    <mergeCell ref="AH251:AH252"/>
    <mergeCell ref="J253:J254"/>
    <mergeCell ref="P253:P254"/>
    <mergeCell ref="V253:V254"/>
    <mergeCell ref="AB253:AB254"/>
    <mergeCell ref="AH253:AH254"/>
    <mergeCell ref="B243:B248"/>
    <mergeCell ref="L243:L244"/>
    <mergeCell ref="M243:M244"/>
    <mergeCell ref="N243:N244"/>
    <mergeCell ref="Q243:Q244"/>
    <mergeCell ref="C251:C252"/>
    <mergeCell ref="E243:E244"/>
    <mergeCell ref="F243:F244"/>
    <mergeCell ref="G243:G244"/>
    <mergeCell ref="H243:H244"/>
    <mergeCell ref="K243:K244"/>
    <mergeCell ref="R243:R244"/>
    <mergeCell ref="S243:S244"/>
    <mergeCell ref="T243:T244"/>
    <mergeCell ref="W243:W244"/>
    <mergeCell ref="X243:X244"/>
    <mergeCell ref="Y243:Y244"/>
    <mergeCell ref="B152:C152"/>
    <mergeCell ref="C93:C94"/>
    <mergeCell ref="B89:B94"/>
    <mergeCell ref="B249:B254"/>
    <mergeCell ref="C249:C250"/>
    <mergeCell ref="B125:B130"/>
    <mergeCell ref="C122:C123"/>
    <mergeCell ref="C129:C130"/>
    <mergeCell ref="A237:A254"/>
    <mergeCell ref="B237:B242"/>
    <mergeCell ref="C241:C242"/>
    <mergeCell ref="C243:C244"/>
    <mergeCell ref="C245:C246"/>
    <mergeCell ref="C253:C254"/>
    <mergeCell ref="C247:C248"/>
    <mergeCell ref="C239:C240"/>
    <mergeCell ref="C114:C115"/>
    <mergeCell ref="C116:C117"/>
    <mergeCell ref="C127:C128"/>
    <mergeCell ref="C125:C126"/>
    <mergeCell ref="C135:C136"/>
    <mergeCell ref="B137:B142"/>
    <mergeCell ref="C137:C138"/>
    <mergeCell ref="C139:C140"/>
    <mergeCell ref="C141:C142"/>
    <mergeCell ref="C131:C132"/>
    <mergeCell ref="C133:C134"/>
    <mergeCell ref="B131:B136"/>
    <mergeCell ref="B143:B145"/>
    <mergeCell ref="B146:B151"/>
    <mergeCell ref="B124:AH124"/>
    <mergeCell ref="A2:C2"/>
    <mergeCell ref="A3:C3"/>
    <mergeCell ref="A4:C4"/>
    <mergeCell ref="A7:C7"/>
    <mergeCell ref="B10:B12"/>
    <mergeCell ref="C10:C12"/>
    <mergeCell ref="C31:C32"/>
    <mergeCell ref="C19:C20"/>
    <mergeCell ref="C25:C26"/>
    <mergeCell ref="C29:C30"/>
    <mergeCell ref="C15:C16"/>
    <mergeCell ref="A59:A72"/>
    <mergeCell ref="B71:C72"/>
    <mergeCell ref="B61:C62"/>
    <mergeCell ref="B67:C68"/>
    <mergeCell ref="C52:C53"/>
    <mergeCell ref="C17:C18"/>
    <mergeCell ref="A40:A57"/>
    <mergeCell ref="B40:B45"/>
    <mergeCell ref="C40:C41"/>
    <mergeCell ref="B46:B51"/>
    <mergeCell ref="A15:A38"/>
    <mergeCell ref="C21:C22"/>
    <mergeCell ref="B27:B32"/>
    <mergeCell ref="C27:C28"/>
    <mergeCell ref="C23:C24"/>
    <mergeCell ref="B15:B20"/>
    <mergeCell ref="C35:C36"/>
    <mergeCell ref="B39:AH39"/>
    <mergeCell ref="A8:V8"/>
    <mergeCell ref="E10:I10"/>
    <mergeCell ref="K10:P10"/>
    <mergeCell ref="C37:C38"/>
    <mergeCell ref="C42:C43"/>
    <mergeCell ref="C46:C47"/>
    <mergeCell ref="C48:C49"/>
    <mergeCell ref="C44:C45"/>
    <mergeCell ref="B33:B38"/>
    <mergeCell ref="C33:C34"/>
    <mergeCell ref="B21:B26"/>
    <mergeCell ref="C50:C51"/>
    <mergeCell ref="C54:C55"/>
    <mergeCell ref="C56:C57"/>
    <mergeCell ref="B69:C70"/>
    <mergeCell ref="B76:C76"/>
    <mergeCell ref="B78:C79"/>
    <mergeCell ref="B63:C64"/>
    <mergeCell ref="B65:C66"/>
    <mergeCell ref="B73:AH73"/>
    <mergeCell ref="Z40:Z41"/>
    <mergeCell ref="AC40:AC41"/>
    <mergeCell ref="AD40:AD41"/>
    <mergeCell ref="AE40:AE41"/>
    <mergeCell ref="AF40:AF41"/>
    <mergeCell ref="Z42:Z43"/>
    <mergeCell ref="AC42:AC43"/>
    <mergeCell ref="AD42:AD43"/>
    <mergeCell ref="AE42:AE43"/>
    <mergeCell ref="AF42:AF43"/>
    <mergeCell ref="X44:X45"/>
    <mergeCell ref="Y44:Y45"/>
    <mergeCell ref="Z44:Z45"/>
    <mergeCell ref="AC44:AC45"/>
    <mergeCell ref="AD44:AD45"/>
    <mergeCell ref="A74:A79"/>
    <mergeCell ref="B74:C75"/>
    <mergeCell ref="B77:C77"/>
    <mergeCell ref="C89:C90"/>
    <mergeCell ref="C91:C92"/>
    <mergeCell ref="A82:A107"/>
    <mergeCell ref="B83:B88"/>
    <mergeCell ref="C83:C84"/>
    <mergeCell ref="C87:C88"/>
    <mergeCell ref="B96:B101"/>
    <mergeCell ref="C118:C119"/>
    <mergeCell ref="C120:C121"/>
    <mergeCell ref="C104:C105"/>
    <mergeCell ref="C100:C101"/>
    <mergeCell ref="C98:C99"/>
    <mergeCell ref="C102:C103"/>
    <mergeCell ref="C106:C107"/>
    <mergeCell ref="B108:C108"/>
    <mergeCell ref="B112:B117"/>
    <mergeCell ref="C112:C113"/>
    <mergeCell ref="A109:A123"/>
    <mergeCell ref="B110:C111"/>
    <mergeCell ref="C85:C86"/>
    <mergeCell ref="C96:C97"/>
    <mergeCell ref="B102:B107"/>
    <mergeCell ref="B95:C95"/>
    <mergeCell ref="B118:B123"/>
    <mergeCell ref="C146:C147"/>
    <mergeCell ref="C148:C149"/>
    <mergeCell ref="C150:C151"/>
    <mergeCell ref="A153:A170"/>
    <mergeCell ref="B153:B158"/>
    <mergeCell ref="C153:C154"/>
    <mergeCell ref="B165:B170"/>
    <mergeCell ref="C165:C166"/>
    <mergeCell ref="C157:C158"/>
    <mergeCell ref="C155:C156"/>
    <mergeCell ref="B159:B164"/>
    <mergeCell ref="C159:C160"/>
    <mergeCell ref="C163:C164"/>
    <mergeCell ref="C161:C162"/>
    <mergeCell ref="C183:C184"/>
    <mergeCell ref="C185:C186"/>
    <mergeCell ref="C187:C188"/>
    <mergeCell ref="C167:C168"/>
    <mergeCell ref="C169:C170"/>
    <mergeCell ref="B171:B176"/>
    <mergeCell ref="C171:C172"/>
    <mergeCell ref="C173:C174"/>
    <mergeCell ref="C175:C176"/>
    <mergeCell ref="B183:B188"/>
    <mergeCell ref="A171:A176"/>
    <mergeCell ref="A177:A182"/>
    <mergeCell ref="A183:A188"/>
    <mergeCell ref="A125:A151"/>
    <mergeCell ref="B177:B182"/>
    <mergeCell ref="C177:C178"/>
    <mergeCell ref="C179:C180"/>
    <mergeCell ref="C181:C182"/>
    <mergeCell ref="B200:C201"/>
    <mergeCell ref="A196:A211"/>
    <mergeCell ref="B196:C197"/>
    <mergeCell ref="B202:B207"/>
    <mergeCell ref="C202:C203"/>
    <mergeCell ref="A190:A193"/>
    <mergeCell ref="B190:C191"/>
    <mergeCell ref="B192:C193"/>
    <mergeCell ref="C204:C205"/>
    <mergeCell ref="C206:C207"/>
    <mergeCell ref="B208:C209"/>
    <mergeCell ref="A226:A235"/>
    <mergeCell ref="A213:A218"/>
    <mergeCell ref="B213:C214"/>
    <mergeCell ref="B215:C216"/>
    <mergeCell ref="B217:C218"/>
    <mergeCell ref="C222:C223"/>
    <mergeCell ref="A222:A223"/>
    <mergeCell ref="B222:B223"/>
    <mergeCell ref="B234:C235"/>
    <mergeCell ref="B210:C211"/>
    <mergeCell ref="B225:C225"/>
    <mergeCell ref="B226:C227"/>
    <mergeCell ref="B228:C229"/>
    <mergeCell ref="B232:C233"/>
    <mergeCell ref="B230:C231"/>
    <mergeCell ref="B198:C199"/>
    <mergeCell ref="N3:N5"/>
    <mergeCell ref="O3:O5"/>
    <mergeCell ref="Y5:Y6"/>
    <mergeCell ref="D78:D79"/>
    <mergeCell ref="D83:D84"/>
    <mergeCell ref="D85:D86"/>
    <mergeCell ref="E40:E41"/>
    <mergeCell ref="F40:F41"/>
    <mergeCell ref="G40:G41"/>
    <mergeCell ref="H40:H41"/>
    <mergeCell ref="D87:D88"/>
    <mergeCell ref="D89:D90"/>
    <mergeCell ref="D91:D92"/>
    <mergeCell ref="D93:D94"/>
    <mergeCell ref="D102:D103"/>
    <mergeCell ref="D104:D105"/>
    <mergeCell ref="D106:D107"/>
    <mergeCell ref="X40:X41"/>
    <mergeCell ref="Y40:Y41"/>
    <mergeCell ref="X42:X43"/>
    <mergeCell ref="Y42:Y43"/>
    <mergeCell ref="G44:G45"/>
    <mergeCell ref="H44:H45"/>
    <mergeCell ref="K44:K45"/>
    <mergeCell ref="L44:L45"/>
    <mergeCell ref="M44:M45"/>
    <mergeCell ref="N44:N45"/>
    <mergeCell ref="Q44:Q45"/>
    <mergeCell ref="R44:R45"/>
    <mergeCell ref="S44:S45"/>
    <mergeCell ref="T44:T45"/>
    <mergeCell ref="W44:W45"/>
    <mergeCell ref="D110:D111"/>
    <mergeCell ref="D112:D113"/>
    <mergeCell ref="D100:D101"/>
    <mergeCell ref="D98:D99"/>
    <mergeCell ref="D96:D97"/>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247:D248"/>
    <mergeCell ref="D249:D250"/>
    <mergeCell ref="D215:D216"/>
    <mergeCell ref="D171:D172"/>
    <mergeCell ref="D173:D174"/>
    <mergeCell ref="D175:D176"/>
    <mergeCell ref="D177:D178"/>
    <mergeCell ref="D179:D180"/>
    <mergeCell ref="D181:D182"/>
    <mergeCell ref="D243:D244"/>
    <mergeCell ref="D245:D246"/>
    <mergeCell ref="D183:D184"/>
    <mergeCell ref="D185:D186"/>
    <mergeCell ref="D187:D188"/>
    <mergeCell ref="D190:D191"/>
    <mergeCell ref="A5:B5"/>
    <mergeCell ref="A6:B6"/>
    <mergeCell ref="D198:D199"/>
    <mergeCell ref="D208:D209"/>
    <mergeCell ref="D251:D252"/>
    <mergeCell ref="D253:D254"/>
    <mergeCell ref="D192:D193"/>
    <mergeCell ref="D237:D238"/>
    <mergeCell ref="D239:D240"/>
    <mergeCell ref="D241:D242"/>
    <mergeCell ref="M40:M41"/>
    <mergeCell ref="N40:N41"/>
    <mergeCell ref="Q40:Q41"/>
    <mergeCell ref="R40:R41"/>
    <mergeCell ref="S40:S41"/>
    <mergeCell ref="T40:T41"/>
    <mergeCell ref="W40:W41"/>
    <mergeCell ref="E42:E43"/>
    <mergeCell ref="F42:F43"/>
    <mergeCell ref="G42:G43"/>
    <mergeCell ref="H42:H43"/>
    <mergeCell ref="K42:K43"/>
    <mergeCell ref="L42:L43"/>
    <mergeCell ref="M42:M43"/>
    <mergeCell ref="N42:N43"/>
    <mergeCell ref="Q42:Q43"/>
    <mergeCell ref="R42:R43"/>
    <mergeCell ref="S42:S43"/>
    <mergeCell ref="T42:T43"/>
    <mergeCell ref="W42:W43"/>
    <mergeCell ref="E44:E45"/>
    <mergeCell ref="F44:F45"/>
    <mergeCell ref="AD46:AD47"/>
    <mergeCell ref="AE46:AE47"/>
    <mergeCell ref="AF46:AF47"/>
    <mergeCell ref="G48:G49"/>
    <mergeCell ref="H48:H49"/>
    <mergeCell ref="K48:K49"/>
    <mergeCell ref="L48:L49"/>
    <mergeCell ref="M48:M49"/>
    <mergeCell ref="N48:N49"/>
    <mergeCell ref="J48:J49"/>
    <mergeCell ref="Q48:Q49"/>
    <mergeCell ref="R48:R49"/>
    <mergeCell ref="S48:S49"/>
    <mergeCell ref="T48:T49"/>
    <mergeCell ref="W48:W49"/>
    <mergeCell ref="X48:X49"/>
    <mergeCell ref="Y48:Y49"/>
    <mergeCell ref="Z48:Z49"/>
    <mergeCell ref="AC48:AC49"/>
    <mergeCell ref="AD48:AD49"/>
    <mergeCell ref="AE48:AE49"/>
    <mergeCell ref="AF48:AF49"/>
    <mergeCell ref="G50:G51"/>
    <mergeCell ref="H50:H51"/>
    <mergeCell ref="K50:K51"/>
    <mergeCell ref="L50:L51"/>
    <mergeCell ref="M50:M51"/>
    <mergeCell ref="N50:N51"/>
    <mergeCell ref="Q50:Q51"/>
    <mergeCell ref="R50:R51"/>
    <mergeCell ref="S50:S51"/>
    <mergeCell ref="T50:T51"/>
    <mergeCell ref="W50:W51"/>
    <mergeCell ref="X50:X51"/>
    <mergeCell ref="Y50:Y51"/>
    <mergeCell ref="Z50:Z51"/>
    <mergeCell ref="AC50:AC51"/>
    <mergeCell ref="N46:N47"/>
    <mergeCell ref="Q46:Q47"/>
    <mergeCell ref="R46:R47"/>
    <mergeCell ref="S46:S47"/>
    <mergeCell ref="T46:T47"/>
    <mergeCell ref="W46:W47"/>
    <mergeCell ref="X46:X47"/>
    <mergeCell ref="Y46:Y47"/>
    <mergeCell ref="Z46:Z47"/>
    <mergeCell ref="AC46:AC47"/>
    <mergeCell ref="P54:P55"/>
    <mergeCell ref="W54:W55"/>
    <mergeCell ref="X54:X55"/>
    <mergeCell ref="Y54:Y55"/>
    <mergeCell ref="Z54:Z55"/>
    <mergeCell ref="AC54:AC55"/>
    <mergeCell ref="AD54:AD55"/>
    <mergeCell ref="AD50:AD51"/>
    <mergeCell ref="AE50:AE51"/>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E50:E51"/>
    <mergeCell ref="F50:F51"/>
    <mergeCell ref="AE54:AE55"/>
    <mergeCell ref="AF54:AF55"/>
    <mergeCell ref="E56:E57"/>
    <mergeCell ref="F56:F57"/>
    <mergeCell ref="G56:G57"/>
    <mergeCell ref="H56:H57"/>
    <mergeCell ref="K56:K57"/>
    <mergeCell ref="L56:L57"/>
    <mergeCell ref="M56:M57"/>
    <mergeCell ref="N56:N57"/>
    <mergeCell ref="Q56:Q57"/>
    <mergeCell ref="R56:R57"/>
    <mergeCell ref="S56:S57"/>
    <mergeCell ref="T56:T57"/>
    <mergeCell ref="W56:W57"/>
    <mergeCell ref="X56:X57"/>
    <mergeCell ref="Y56:Y57"/>
    <mergeCell ref="Z56:Z57"/>
    <mergeCell ref="AC56:AC57"/>
    <mergeCell ref="AD56:AD57"/>
    <mergeCell ref="AE56:AE57"/>
    <mergeCell ref="AF56:AF57"/>
    <mergeCell ref="H54:H55"/>
    <mergeCell ref="K54:K55"/>
    <mergeCell ref="L54:L55"/>
    <mergeCell ref="J54:J55"/>
    <mergeCell ref="M54:M55"/>
    <mergeCell ref="N54:N55"/>
    <mergeCell ref="Q54:Q55"/>
    <mergeCell ref="R54:R55"/>
    <mergeCell ref="S54:S55"/>
    <mergeCell ref="T54:T55"/>
    <mergeCell ref="AC15:AC16"/>
    <mergeCell ref="AD15:AD16"/>
    <mergeCell ref="AE15:AE16"/>
    <mergeCell ref="AF15:AF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J17:J18"/>
    <mergeCell ref="O17:O18"/>
    <mergeCell ref="P17:P18"/>
    <mergeCell ref="V17:V18"/>
    <mergeCell ref="AA19:AA20"/>
    <mergeCell ref="AC19:AC20"/>
    <mergeCell ref="AD19:AD20"/>
    <mergeCell ref="AE19:AE20"/>
    <mergeCell ref="AF19:AF20"/>
    <mergeCell ref="AG19:AG20"/>
    <mergeCell ref="AB19:AB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AC23:AC24"/>
    <mergeCell ref="AD23:AD24"/>
    <mergeCell ref="AE23:AE24"/>
    <mergeCell ref="AB23:AB24"/>
    <mergeCell ref="AF23:AF24"/>
    <mergeCell ref="AG23:AG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Z27:Z28"/>
    <mergeCell ref="AA27:AA28"/>
    <mergeCell ref="AC27:AC28"/>
    <mergeCell ref="AD27:AD28"/>
    <mergeCell ref="AE27:AE28"/>
    <mergeCell ref="AF27:AF28"/>
    <mergeCell ref="AB27:AB28"/>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5:AA36"/>
    <mergeCell ref="AC35:AC36"/>
    <mergeCell ref="AD35:AD36"/>
    <mergeCell ref="AE35:AE36"/>
    <mergeCell ref="AF35:AF36"/>
    <mergeCell ref="AG35:AG36"/>
    <mergeCell ref="U31:U32"/>
    <mergeCell ref="W31:W32"/>
    <mergeCell ref="V31:V32"/>
    <mergeCell ref="X31:X32"/>
    <mergeCell ref="Y31:Y32"/>
    <mergeCell ref="Z31:Z32"/>
    <mergeCell ref="AA31:AA32"/>
    <mergeCell ref="AC31:AC32"/>
    <mergeCell ref="AD31:AD32"/>
    <mergeCell ref="AE31:AE32"/>
    <mergeCell ref="AF31:AF32"/>
    <mergeCell ref="AG31:AG32"/>
    <mergeCell ref="AA33:AA34"/>
    <mergeCell ref="AC33:AC34"/>
    <mergeCell ref="AD33:AD34"/>
    <mergeCell ref="K37:K38"/>
    <mergeCell ref="L37:L38"/>
    <mergeCell ref="M37:M38"/>
    <mergeCell ref="N37:N38"/>
    <mergeCell ref="Q37:Q38"/>
    <mergeCell ref="R37:R38"/>
    <mergeCell ref="S37:S38"/>
    <mergeCell ref="T37:T38"/>
    <mergeCell ref="U37:U38"/>
    <mergeCell ref="W37:W38"/>
    <mergeCell ref="X37:X38"/>
    <mergeCell ref="Y37:Y38"/>
    <mergeCell ref="AE33:AE34"/>
    <mergeCell ref="AF33:AF34"/>
    <mergeCell ref="AG33:AG34"/>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E37:E38"/>
    <mergeCell ref="F37:F38"/>
    <mergeCell ref="G37:G38"/>
    <mergeCell ref="H37:H38"/>
    <mergeCell ref="I37:I38"/>
    <mergeCell ref="T61:T62"/>
    <mergeCell ref="W61:W62"/>
    <mergeCell ref="X61:X62"/>
    <mergeCell ref="Y61:Y62"/>
    <mergeCell ref="Z61:Z62"/>
    <mergeCell ref="AC61:AC62"/>
    <mergeCell ref="V61:V62"/>
    <mergeCell ref="AB61:AB62"/>
    <mergeCell ref="AD61:AD62"/>
    <mergeCell ref="AE61:AE62"/>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Q65:Q66"/>
    <mergeCell ref="X65:X66"/>
    <mergeCell ref="Y65:Y66"/>
    <mergeCell ref="Z65:Z66"/>
    <mergeCell ref="AC65:AC66"/>
    <mergeCell ref="AD65:AD66"/>
    <mergeCell ref="AE65:AE66"/>
    <mergeCell ref="AF65:AF66"/>
    <mergeCell ref="E67:E68"/>
    <mergeCell ref="F67:F68"/>
    <mergeCell ref="G67:G68"/>
    <mergeCell ref="H67:H68"/>
    <mergeCell ref="K67:K68"/>
    <mergeCell ref="L67:L68"/>
    <mergeCell ref="M67:M68"/>
    <mergeCell ref="N67:N68"/>
    <mergeCell ref="Q67:Q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Q71:Q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J78:J79"/>
    <mergeCell ref="P78:P79"/>
    <mergeCell ref="V78:V79"/>
    <mergeCell ref="AB78:AB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89:E90"/>
    <mergeCell ref="F89:F90"/>
    <mergeCell ref="G89:G90"/>
    <mergeCell ref="H89:H90"/>
    <mergeCell ref="K89:K90"/>
    <mergeCell ref="L89:L90"/>
    <mergeCell ref="M89:M90"/>
    <mergeCell ref="N89:N90"/>
    <mergeCell ref="Q89:Q90"/>
    <mergeCell ref="R89:R90"/>
    <mergeCell ref="S89:S90"/>
    <mergeCell ref="T89:T90"/>
    <mergeCell ref="W89:W90"/>
    <mergeCell ref="X89:X90"/>
    <mergeCell ref="Y89:Y90"/>
    <mergeCell ref="Z89:Z90"/>
    <mergeCell ref="AC89:AC90"/>
    <mergeCell ref="J89:J90"/>
    <mergeCell ref="P89:P90"/>
    <mergeCell ref="V89:V90"/>
    <mergeCell ref="AB89:AB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E93:E94"/>
    <mergeCell ref="F93:F94"/>
    <mergeCell ref="G93:G94"/>
    <mergeCell ref="H93:H94"/>
    <mergeCell ref="K93:K94"/>
    <mergeCell ref="L93:L94"/>
    <mergeCell ref="M93:M94"/>
    <mergeCell ref="N93:N94"/>
    <mergeCell ref="Q93:Q94"/>
    <mergeCell ref="R93:R94"/>
    <mergeCell ref="S93:S94"/>
    <mergeCell ref="T93:T94"/>
    <mergeCell ref="W93:W94"/>
    <mergeCell ref="X93:X94"/>
    <mergeCell ref="Y93:Y94"/>
    <mergeCell ref="Z93:Z94"/>
    <mergeCell ref="AC93:AC94"/>
    <mergeCell ref="E96:E97"/>
    <mergeCell ref="F96:F97"/>
    <mergeCell ref="G96:G97"/>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E98:E99"/>
    <mergeCell ref="F98:F99"/>
    <mergeCell ref="G98:G99"/>
    <mergeCell ref="H98:H99"/>
    <mergeCell ref="K98:K99"/>
    <mergeCell ref="L98:L99"/>
    <mergeCell ref="M98:M99"/>
    <mergeCell ref="N98:N99"/>
    <mergeCell ref="Q98:Q99"/>
    <mergeCell ref="R98:R99"/>
    <mergeCell ref="S98:S99"/>
    <mergeCell ref="T98:T99"/>
    <mergeCell ref="W98:W99"/>
    <mergeCell ref="X98:X99"/>
    <mergeCell ref="Y98:Y99"/>
    <mergeCell ref="Z98:Z99"/>
    <mergeCell ref="AC98:AC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J100:J101"/>
    <mergeCell ref="P100:P101"/>
    <mergeCell ref="V100:V101"/>
    <mergeCell ref="AB100:AB101"/>
    <mergeCell ref="R104:R105"/>
    <mergeCell ref="S104:S105"/>
    <mergeCell ref="T104:T105"/>
    <mergeCell ref="W104:W105"/>
    <mergeCell ref="X104:X105"/>
    <mergeCell ref="Y104:Y105"/>
    <mergeCell ref="Z104:Z105"/>
    <mergeCell ref="AC104:AC105"/>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AD104:AD105"/>
    <mergeCell ref="AE104:AE105"/>
    <mergeCell ref="AF104:AF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AD106:AD107"/>
    <mergeCell ref="AE106:AE107"/>
    <mergeCell ref="AF106:AF107"/>
    <mergeCell ref="E104:E105"/>
    <mergeCell ref="F104:F105"/>
    <mergeCell ref="G104:G105"/>
    <mergeCell ref="H104:H105"/>
    <mergeCell ref="K104:K105"/>
    <mergeCell ref="L104:L105"/>
    <mergeCell ref="M104:M105"/>
    <mergeCell ref="N104:N105"/>
    <mergeCell ref="Q104:Q105"/>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J116:J117"/>
    <mergeCell ref="P116:P117"/>
    <mergeCell ref="V116:V117"/>
    <mergeCell ref="AB116:AB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E122:E123"/>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J155:J156"/>
    <mergeCell ref="P155:P156"/>
    <mergeCell ref="V155:V156"/>
    <mergeCell ref="AB155:AB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J163:J164"/>
    <mergeCell ref="P163:P164"/>
    <mergeCell ref="V163:V164"/>
    <mergeCell ref="AB163:AB164"/>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J171:J172"/>
    <mergeCell ref="P171:P172"/>
    <mergeCell ref="V171:V172"/>
    <mergeCell ref="AB171:AB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E179:E180"/>
    <mergeCell ref="F179:F180"/>
    <mergeCell ref="G179:G180"/>
    <mergeCell ref="H179:H180"/>
    <mergeCell ref="K179:K180"/>
    <mergeCell ref="L179:L180"/>
    <mergeCell ref="M179:M180"/>
    <mergeCell ref="N179:N180"/>
    <mergeCell ref="Q179:Q180"/>
    <mergeCell ref="R179:R180"/>
    <mergeCell ref="S179:S180"/>
    <mergeCell ref="T179:T180"/>
    <mergeCell ref="W179:W180"/>
    <mergeCell ref="X179:X180"/>
    <mergeCell ref="Y179:Y180"/>
    <mergeCell ref="Z179:Z180"/>
    <mergeCell ref="AC179:AC180"/>
    <mergeCell ref="J179:J180"/>
    <mergeCell ref="P179:P180"/>
    <mergeCell ref="V179:V180"/>
    <mergeCell ref="AB179:AB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T187:T188"/>
    <mergeCell ref="W187:W188"/>
    <mergeCell ref="X187:X188"/>
    <mergeCell ref="Y187:Y188"/>
    <mergeCell ref="Z187:Z188"/>
    <mergeCell ref="AC187:AC188"/>
    <mergeCell ref="AD187:AD188"/>
    <mergeCell ref="AE187:AE188"/>
    <mergeCell ref="AF187:AF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AD190:AD191"/>
    <mergeCell ref="AE190:AE191"/>
    <mergeCell ref="AF190:AF191"/>
    <mergeCell ref="J187:J188"/>
    <mergeCell ref="P187:P188"/>
    <mergeCell ref="V187:V188"/>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AD192:AD193"/>
    <mergeCell ref="AE192:AE193"/>
    <mergeCell ref="AF192:AF193"/>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AD237:AD238"/>
    <mergeCell ref="AE237:AE238"/>
    <mergeCell ref="AF237:AF238"/>
    <mergeCell ref="E196:E197"/>
    <mergeCell ref="F196:F197"/>
    <mergeCell ref="G196:G197"/>
    <mergeCell ref="H196:H197"/>
    <mergeCell ref="Q196:Q197"/>
    <mergeCell ref="R196:R197"/>
    <mergeCell ref="S196:S197"/>
    <mergeCell ref="E198:E199"/>
    <mergeCell ref="F198:F199"/>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AC239:AC240"/>
    <mergeCell ref="E241:E242"/>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J241:J242"/>
    <mergeCell ref="P241:P242"/>
    <mergeCell ref="V241:V242"/>
    <mergeCell ref="AB241:AB242"/>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E245:E246"/>
    <mergeCell ref="F245:F246"/>
    <mergeCell ref="G245:G246"/>
    <mergeCell ref="H245:H246"/>
    <mergeCell ref="K245:K246"/>
    <mergeCell ref="L245:L246"/>
    <mergeCell ref="M245:M246"/>
    <mergeCell ref="N245:N246"/>
    <mergeCell ref="Q245:Q246"/>
    <mergeCell ref="R245:R246"/>
    <mergeCell ref="S245:S246"/>
    <mergeCell ref="T245:T246"/>
    <mergeCell ref="W245:W246"/>
    <mergeCell ref="X245:X246"/>
    <mergeCell ref="Y245:Y246"/>
    <mergeCell ref="Z245:Z246"/>
    <mergeCell ref="AC245:AC246"/>
    <mergeCell ref="R251:R252"/>
    <mergeCell ref="S251:S252"/>
    <mergeCell ref="T251:T252"/>
    <mergeCell ref="W251:W252"/>
    <mergeCell ref="X251:X252"/>
    <mergeCell ref="Y251:Y252"/>
    <mergeCell ref="Z251:Z252"/>
    <mergeCell ref="AC251:AC252"/>
    <mergeCell ref="AE247:AE248"/>
    <mergeCell ref="AF247:AF248"/>
    <mergeCell ref="E249:E250"/>
    <mergeCell ref="F249:F250"/>
    <mergeCell ref="G249:G250"/>
    <mergeCell ref="H249:H250"/>
    <mergeCell ref="K249:K250"/>
    <mergeCell ref="L249:L250"/>
    <mergeCell ref="M249:M250"/>
    <mergeCell ref="N249:N250"/>
    <mergeCell ref="Q249:Q250"/>
    <mergeCell ref="R249:R250"/>
    <mergeCell ref="S249:S250"/>
    <mergeCell ref="T249:T250"/>
    <mergeCell ref="W249:W250"/>
    <mergeCell ref="X249:X250"/>
    <mergeCell ref="Y249:Y250"/>
    <mergeCell ref="Z249:Z250"/>
    <mergeCell ref="AC249:AC250"/>
    <mergeCell ref="AD249:AD250"/>
    <mergeCell ref="AE249:AE250"/>
    <mergeCell ref="AF249:AF250"/>
    <mergeCell ref="E247:E248"/>
    <mergeCell ref="F247:F248"/>
    <mergeCell ref="AD251:AD252"/>
    <mergeCell ref="AE251:AE252"/>
    <mergeCell ref="AF251:AF252"/>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AD253:AD254"/>
    <mergeCell ref="AE253:AE254"/>
    <mergeCell ref="AF253:AF254"/>
    <mergeCell ref="E251:E252"/>
    <mergeCell ref="F251:F252"/>
    <mergeCell ref="G251:G252"/>
    <mergeCell ref="H251:H252"/>
    <mergeCell ref="K251:K252"/>
    <mergeCell ref="L251:L252"/>
    <mergeCell ref="M251:M252"/>
    <mergeCell ref="N251:N252"/>
    <mergeCell ref="Q251:Q252"/>
    <mergeCell ref="E127:E128"/>
    <mergeCell ref="F127:F128"/>
    <mergeCell ref="G127:G128"/>
    <mergeCell ref="H127:H128"/>
    <mergeCell ref="K127:K128"/>
    <mergeCell ref="L127:L128"/>
    <mergeCell ref="M127:M128"/>
    <mergeCell ref="N127:N128"/>
    <mergeCell ref="Q127:Q128"/>
    <mergeCell ref="R127:R128"/>
    <mergeCell ref="S127:S128"/>
    <mergeCell ref="T127:T128"/>
    <mergeCell ref="W127:W128"/>
    <mergeCell ref="X127:X128"/>
    <mergeCell ref="Y127:Y128"/>
    <mergeCell ref="Z127:Z128"/>
    <mergeCell ref="AC127:AC128"/>
    <mergeCell ref="J127:J128"/>
    <mergeCell ref="P127:P128"/>
    <mergeCell ref="V127:V128"/>
    <mergeCell ref="AB127:AB128"/>
    <mergeCell ref="E129:E130"/>
    <mergeCell ref="F129:F130"/>
    <mergeCell ref="G129:G130"/>
    <mergeCell ref="H129:H130"/>
    <mergeCell ref="K129:K130"/>
    <mergeCell ref="L129:L130"/>
    <mergeCell ref="M129:M130"/>
    <mergeCell ref="N129:N130"/>
    <mergeCell ref="Q129:Q130"/>
    <mergeCell ref="R129:R130"/>
    <mergeCell ref="S129:S130"/>
    <mergeCell ref="T129:T130"/>
    <mergeCell ref="W129:W130"/>
    <mergeCell ref="X129:X130"/>
    <mergeCell ref="Y129:Y130"/>
    <mergeCell ref="Z129:Z130"/>
    <mergeCell ref="AC129:AC130"/>
    <mergeCell ref="E131:E132"/>
    <mergeCell ref="F131:F132"/>
    <mergeCell ref="G131:G132"/>
    <mergeCell ref="H131:H132"/>
    <mergeCell ref="K131:K132"/>
    <mergeCell ref="L131:L132"/>
    <mergeCell ref="M131:M132"/>
    <mergeCell ref="N131:N132"/>
    <mergeCell ref="Q131:Q132"/>
    <mergeCell ref="R131:R132"/>
    <mergeCell ref="S131:S132"/>
    <mergeCell ref="T131:T132"/>
    <mergeCell ref="W131:W132"/>
    <mergeCell ref="X131:X132"/>
    <mergeCell ref="Y131:Y132"/>
    <mergeCell ref="Z131:Z132"/>
    <mergeCell ref="AC131:AC132"/>
    <mergeCell ref="E133:E134"/>
    <mergeCell ref="F133:F134"/>
    <mergeCell ref="G133:G134"/>
    <mergeCell ref="H133:H134"/>
    <mergeCell ref="K133:K134"/>
    <mergeCell ref="L133:L134"/>
    <mergeCell ref="M133:M134"/>
    <mergeCell ref="N133:N134"/>
    <mergeCell ref="Q133:Q134"/>
    <mergeCell ref="R133:R134"/>
    <mergeCell ref="S133:S134"/>
    <mergeCell ref="T133:T134"/>
    <mergeCell ref="W133:W134"/>
    <mergeCell ref="X133:X134"/>
    <mergeCell ref="Y133:Y134"/>
    <mergeCell ref="Z133:Z134"/>
    <mergeCell ref="AC133:AC134"/>
    <mergeCell ref="E135:E136"/>
    <mergeCell ref="F135:F136"/>
    <mergeCell ref="G135:G136"/>
    <mergeCell ref="H135:H136"/>
    <mergeCell ref="K135:K136"/>
    <mergeCell ref="L135:L136"/>
    <mergeCell ref="M135:M136"/>
    <mergeCell ref="N135:N136"/>
    <mergeCell ref="Q135:Q136"/>
    <mergeCell ref="R135:R136"/>
    <mergeCell ref="S135:S136"/>
    <mergeCell ref="T135:T136"/>
    <mergeCell ref="W135:W136"/>
    <mergeCell ref="X135:X136"/>
    <mergeCell ref="Y135:Y136"/>
    <mergeCell ref="Z135:Z136"/>
    <mergeCell ref="AC135:AC136"/>
    <mergeCell ref="J135:J136"/>
    <mergeCell ref="P135:P136"/>
    <mergeCell ref="V135:V136"/>
    <mergeCell ref="AB135:AB136"/>
    <mergeCell ref="E137:E138"/>
    <mergeCell ref="F137:F138"/>
    <mergeCell ref="G137:G138"/>
    <mergeCell ref="H137:H138"/>
    <mergeCell ref="K137:K138"/>
    <mergeCell ref="L137:L138"/>
    <mergeCell ref="M137:M138"/>
    <mergeCell ref="N137:N138"/>
    <mergeCell ref="Q137:Q138"/>
    <mergeCell ref="R137:R138"/>
    <mergeCell ref="S137:S138"/>
    <mergeCell ref="T137:T138"/>
    <mergeCell ref="W137:W138"/>
    <mergeCell ref="X137:X138"/>
    <mergeCell ref="Y137:Y138"/>
    <mergeCell ref="Z137:Z138"/>
    <mergeCell ref="AC137:AC138"/>
    <mergeCell ref="E139:E140"/>
    <mergeCell ref="F139:F140"/>
    <mergeCell ref="G139:G140"/>
    <mergeCell ref="H139:H140"/>
    <mergeCell ref="K139:K140"/>
    <mergeCell ref="L139:L140"/>
    <mergeCell ref="M139:M140"/>
    <mergeCell ref="N139:N140"/>
    <mergeCell ref="Q139:Q140"/>
    <mergeCell ref="R139:R140"/>
    <mergeCell ref="S139:S140"/>
    <mergeCell ref="T139:T140"/>
    <mergeCell ref="W139:W140"/>
    <mergeCell ref="X139:X140"/>
    <mergeCell ref="Y139:Y140"/>
    <mergeCell ref="Z139:Z140"/>
    <mergeCell ref="AC139:AC140"/>
    <mergeCell ref="E141:E142"/>
    <mergeCell ref="F141:F142"/>
    <mergeCell ref="G141:G142"/>
    <mergeCell ref="H141:H142"/>
    <mergeCell ref="K141:K142"/>
    <mergeCell ref="L141:L142"/>
    <mergeCell ref="M141:M142"/>
    <mergeCell ref="N141:N142"/>
    <mergeCell ref="Q141:Q142"/>
    <mergeCell ref="R141:R142"/>
    <mergeCell ref="S141:S142"/>
    <mergeCell ref="T141:T142"/>
    <mergeCell ref="W141:W142"/>
    <mergeCell ref="X141:X142"/>
    <mergeCell ref="Y141:Y142"/>
    <mergeCell ref="Z141:Z142"/>
    <mergeCell ref="AC141:AC142"/>
    <mergeCell ref="E146:E147"/>
    <mergeCell ref="F146:F147"/>
    <mergeCell ref="G146:G147"/>
    <mergeCell ref="H146:H147"/>
    <mergeCell ref="K146:K147"/>
    <mergeCell ref="L146:L147"/>
    <mergeCell ref="M146:M147"/>
    <mergeCell ref="N146:N147"/>
    <mergeCell ref="Q146:Q147"/>
    <mergeCell ref="R146:R147"/>
    <mergeCell ref="S146:S147"/>
    <mergeCell ref="T146:T147"/>
    <mergeCell ref="W146:W147"/>
    <mergeCell ref="X146:X147"/>
    <mergeCell ref="Y146:Y147"/>
    <mergeCell ref="Z146:Z147"/>
    <mergeCell ref="AC146:AC147"/>
    <mergeCell ref="J146:J147"/>
    <mergeCell ref="P146:P147"/>
    <mergeCell ref="V146:V147"/>
    <mergeCell ref="AB146:AB147"/>
    <mergeCell ref="E148:E149"/>
    <mergeCell ref="F148:F149"/>
    <mergeCell ref="G148:G149"/>
    <mergeCell ref="H148:H149"/>
    <mergeCell ref="K148:K149"/>
    <mergeCell ref="L148:L149"/>
    <mergeCell ref="M148:M149"/>
    <mergeCell ref="N148:N149"/>
    <mergeCell ref="Q148:Q149"/>
    <mergeCell ref="R148:R149"/>
    <mergeCell ref="S148:S149"/>
    <mergeCell ref="T148:T149"/>
    <mergeCell ref="W148:W149"/>
    <mergeCell ref="X148:X149"/>
    <mergeCell ref="Y148:Y149"/>
    <mergeCell ref="Z148:Z149"/>
    <mergeCell ref="AC148:AC149"/>
    <mergeCell ref="E150:E151"/>
    <mergeCell ref="F150:F151"/>
    <mergeCell ref="G150:G151"/>
    <mergeCell ref="H150:H151"/>
    <mergeCell ref="K150:K151"/>
    <mergeCell ref="L150:L151"/>
    <mergeCell ref="M150:M151"/>
    <mergeCell ref="N150:N151"/>
    <mergeCell ref="Q150:Q151"/>
    <mergeCell ref="R150:R151"/>
    <mergeCell ref="S150:S151"/>
    <mergeCell ref="T150:T151"/>
    <mergeCell ref="W150:W151"/>
    <mergeCell ref="X150:X151"/>
    <mergeCell ref="Y150:Y151"/>
    <mergeCell ref="Z150:Z151"/>
    <mergeCell ref="AC150:AC151"/>
    <mergeCell ref="G208:G209"/>
    <mergeCell ref="H208:H209"/>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K206:K207"/>
    <mergeCell ref="L206:L207"/>
    <mergeCell ref="M206:M207"/>
    <mergeCell ref="N206:N207"/>
    <mergeCell ref="K208:K209"/>
    <mergeCell ref="L208:L209"/>
    <mergeCell ref="M208:M209"/>
    <mergeCell ref="N208:N209"/>
    <mergeCell ref="K210:K211"/>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K213:K214"/>
    <mergeCell ref="L213:L214"/>
    <mergeCell ref="M213:M214"/>
    <mergeCell ref="N213:N214"/>
    <mergeCell ref="K215:K216"/>
    <mergeCell ref="L215:L216"/>
    <mergeCell ref="M215:M216"/>
    <mergeCell ref="N215:N216"/>
    <mergeCell ref="Y213:Y214"/>
    <mergeCell ref="Z213:Z214"/>
    <mergeCell ref="Y215:Y216"/>
    <mergeCell ref="Z215:Z216"/>
    <mergeCell ref="AC213:AC214"/>
    <mergeCell ref="AD213:AD214"/>
    <mergeCell ref="AE213:AE214"/>
    <mergeCell ref="AF213:AF214"/>
    <mergeCell ref="AC215:AC216"/>
    <mergeCell ref="AD215:AD216"/>
    <mergeCell ref="AE215:AE216"/>
    <mergeCell ref="AF215:AF216"/>
    <mergeCell ref="Z217:Z218"/>
    <mergeCell ref="E217:E218"/>
    <mergeCell ref="F217:F218"/>
    <mergeCell ref="G217:G218"/>
    <mergeCell ref="H217:H218"/>
    <mergeCell ref="S213:S214"/>
    <mergeCell ref="T213:T214"/>
    <mergeCell ref="Q215:Q216"/>
    <mergeCell ref="R215:R216"/>
    <mergeCell ref="S215:S216"/>
    <mergeCell ref="T215:T216"/>
    <mergeCell ref="Q217:Q218"/>
    <mergeCell ref="R217:R218"/>
    <mergeCell ref="S217:S218"/>
    <mergeCell ref="T217:T218"/>
    <mergeCell ref="W213:W214"/>
    <mergeCell ref="X213:X214"/>
    <mergeCell ref="W217:W218"/>
    <mergeCell ref="X217:X218"/>
    <mergeCell ref="Q213:Q214"/>
    <mergeCell ref="R213:R214"/>
    <mergeCell ref="W215:W216"/>
    <mergeCell ref="X215:X216"/>
    <mergeCell ref="J217:J218"/>
    <mergeCell ref="P217:P218"/>
    <mergeCell ref="V217:V218"/>
  </mergeCells>
  <pageMargins left="0.35" right="0.33" top="0.44" bottom="0.31" header="0.3" footer="0.25"/>
  <pageSetup scale="84"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1055-20B8-42DE-A35C-EED873D3469D}">
  <sheetPr>
    <pageSetUpPr fitToPage="1"/>
  </sheetPr>
  <dimension ref="A1:AH256"/>
  <sheetViews>
    <sheetView zoomScaleNormal="100" workbookViewId="0">
      <pane ySplit="12" topLeftCell="A226" activePane="bottomLeft" state="frozen"/>
      <selection activeCell="B67" sqref="B67:C68"/>
      <selection pane="bottomLeft" activeCell="E234" sqref="E234:AH234"/>
    </sheetView>
  </sheetViews>
  <sheetFormatPr defaultColWidth="9.109375" defaultRowHeight="10.199999999999999" x14ac:dyDescent="0.2"/>
  <cols>
    <col min="1" max="1" width="3.77734375" style="11" customWidth="1"/>
    <col min="2" max="2" width="35.77734375" style="11" customWidth="1"/>
    <col min="3" max="3" width="4.88671875" style="11" customWidth="1"/>
    <col min="4" max="4" width="6" style="11" customWidth="1"/>
    <col min="5" max="34" width="4.77734375" style="11" customWidth="1"/>
    <col min="35" max="16384" width="9.109375" style="11"/>
  </cols>
  <sheetData>
    <row r="1" spans="1:34" x14ac:dyDescent="0.2">
      <c r="A1" s="9"/>
      <c r="B1" s="9"/>
      <c r="C1" s="9"/>
      <c r="D1" s="9"/>
    </row>
    <row r="2" spans="1:34" x14ac:dyDescent="0.2">
      <c r="A2" s="297" t="s">
        <v>51</v>
      </c>
      <c r="B2" s="297"/>
      <c r="C2" s="297"/>
      <c r="D2" s="326"/>
      <c r="E2" s="326"/>
      <c r="F2" s="326"/>
      <c r="G2" s="326"/>
      <c r="H2" s="326"/>
      <c r="I2" s="326"/>
      <c r="J2" s="326"/>
      <c r="K2" s="326"/>
      <c r="L2" s="326"/>
      <c r="M2" s="326"/>
      <c r="N2" s="326"/>
      <c r="O2" s="326"/>
      <c r="P2" s="326"/>
    </row>
    <row r="3" spans="1:34" x14ac:dyDescent="0.2">
      <c r="A3" s="297" t="s">
        <v>50</v>
      </c>
      <c r="B3" s="297"/>
      <c r="C3" s="297"/>
      <c r="D3" s="326"/>
      <c r="E3" s="326"/>
      <c r="F3" s="326"/>
      <c r="G3" s="326"/>
      <c r="H3" s="326"/>
      <c r="I3" s="326"/>
      <c r="J3" s="326"/>
      <c r="N3" s="546"/>
      <c r="O3" s="547"/>
    </row>
    <row r="4" spans="1:34" x14ac:dyDescent="0.2">
      <c r="A4" s="297" t="s">
        <v>72</v>
      </c>
      <c r="B4" s="297"/>
      <c r="C4" s="297"/>
      <c r="D4" s="12"/>
      <c r="J4" s="37"/>
      <c r="N4" s="546"/>
      <c r="O4" s="547"/>
    </row>
    <row r="5" spans="1:34" x14ac:dyDescent="0.2">
      <c r="A5" s="271" t="s">
        <v>148</v>
      </c>
      <c r="B5" s="269"/>
      <c r="C5" s="14"/>
      <c r="D5" s="14"/>
      <c r="J5" s="37"/>
      <c r="N5" s="546"/>
      <c r="O5" s="547"/>
      <c r="Q5" s="11" t="s">
        <v>74</v>
      </c>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176</v>
      </c>
      <c r="B8" s="268"/>
      <c r="C8" s="268"/>
      <c r="D8" s="326"/>
      <c r="E8" s="326"/>
      <c r="F8" s="326"/>
      <c r="G8" s="326"/>
      <c r="H8" s="326"/>
      <c r="I8" s="326"/>
      <c r="J8" s="326"/>
      <c r="K8" s="326"/>
      <c r="L8" s="326"/>
      <c r="M8" s="326"/>
      <c r="N8" s="326"/>
      <c r="O8" s="326"/>
      <c r="P8" s="326"/>
      <c r="Q8" s="326"/>
      <c r="R8" s="326"/>
      <c r="S8" s="326"/>
      <c r="T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106</v>
      </c>
      <c r="R13" s="22" t="s">
        <v>107</v>
      </c>
      <c r="S13" s="22" t="s">
        <v>108</v>
      </c>
      <c r="T13" s="22" t="s">
        <v>109</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5.75" customHeight="1"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5.75" customHeight="1"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5.75" customHeight="1"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5.75" customHeight="1"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ht="36.6" customHeight="1"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3.25"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ht="20.25" customHeight="1"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450" t="s">
        <v>111</v>
      </c>
      <c r="C67" s="450"/>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450"/>
      <c r="C68" s="450"/>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5"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27.75" customHeight="1" x14ac:dyDescent="0.2">
      <c r="A82" s="289"/>
      <c r="B82" s="33" t="s">
        <v>95</v>
      </c>
      <c r="C82" s="34"/>
      <c r="D82" s="24" t="s">
        <v>135</v>
      </c>
      <c r="E82" s="35">
        <v>4</v>
      </c>
      <c r="F82" s="35">
        <v>4</v>
      </c>
      <c r="G82" s="35">
        <v>4</v>
      </c>
      <c r="H82" s="35">
        <v>4</v>
      </c>
      <c r="I82" s="35"/>
      <c r="J82" s="35">
        <v>16</v>
      </c>
      <c r="K82" s="35">
        <v>4</v>
      </c>
      <c r="L82" s="35">
        <v>4</v>
      </c>
      <c r="M82" s="35">
        <v>4</v>
      </c>
      <c r="N82" s="35">
        <v>4</v>
      </c>
      <c r="O82" s="36"/>
      <c r="P82" s="35">
        <v>16</v>
      </c>
      <c r="Q82" s="35">
        <v>4</v>
      </c>
      <c r="R82" s="35">
        <v>4</v>
      </c>
      <c r="S82" s="35">
        <v>4</v>
      </c>
      <c r="T82" s="35">
        <v>4</v>
      </c>
      <c r="U82" s="35"/>
      <c r="V82" s="35">
        <v>16</v>
      </c>
      <c r="W82" s="35">
        <v>4</v>
      </c>
      <c r="X82" s="35">
        <v>4</v>
      </c>
      <c r="Y82" s="35">
        <v>4</v>
      </c>
      <c r="Z82" s="35">
        <v>4</v>
      </c>
      <c r="AA82" s="36"/>
      <c r="AB82" s="35">
        <v>16</v>
      </c>
      <c r="AC82" s="35">
        <v>4</v>
      </c>
      <c r="AD82" s="35">
        <v>4</v>
      </c>
      <c r="AE82" s="35">
        <v>4</v>
      </c>
      <c r="AF82" s="35">
        <v>4</v>
      </c>
      <c r="AG82" s="35"/>
      <c r="AH82" s="35">
        <v>16</v>
      </c>
    </row>
    <row r="83" spans="1:34" ht="15.75" customHeight="1"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ht="15.75" customHeight="1"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36">
        <v>6</v>
      </c>
      <c r="F95" s="36">
        <v>6</v>
      </c>
      <c r="G95" s="36">
        <v>6</v>
      </c>
      <c r="H95" s="36">
        <v>6</v>
      </c>
      <c r="I95" s="35"/>
      <c r="J95" s="35">
        <v>24</v>
      </c>
      <c r="K95" s="36">
        <v>6</v>
      </c>
      <c r="L95" s="36">
        <v>6</v>
      </c>
      <c r="M95" s="36">
        <v>6</v>
      </c>
      <c r="N95" s="36">
        <v>6</v>
      </c>
      <c r="O95" s="35"/>
      <c r="P95" s="35">
        <v>24</v>
      </c>
      <c r="Q95" s="36">
        <v>6</v>
      </c>
      <c r="R95" s="36">
        <v>6</v>
      </c>
      <c r="S95" s="36">
        <v>6</v>
      </c>
      <c r="T95" s="36">
        <v>6</v>
      </c>
      <c r="U95" s="35"/>
      <c r="V95" s="35">
        <v>24</v>
      </c>
      <c r="W95" s="36">
        <v>6</v>
      </c>
      <c r="X95" s="36">
        <v>6</v>
      </c>
      <c r="Y95" s="36">
        <v>6</v>
      </c>
      <c r="Z95" s="36">
        <v>6</v>
      </c>
      <c r="AA95" s="36"/>
      <c r="AB95" s="35">
        <v>24</v>
      </c>
      <c r="AC95" s="36">
        <v>6</v>
      </c>
      <c r="AD95" s="36">
        <v>6</v>
      </c>
      <c r="AE95" s="36">
        <v>6</v>
      </c>
      <c r="AF95" s="36">
        <v>6</v>
      </c>
      <c r="AG95" s="35"/>
      <c r="AH95" s="35">
        <v>24</v>
      </c>
    </row>
    <row r="96" spans="1:34" ht="15.75" customHeight="1"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ht="15.75" customHeight="1"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ht="15.75" customHeight="1"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ht="15.75" customHeight="1"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ht="15.75" customHeight="1"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ht="15.75" customHeight="1"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ht="15.75" customHeight="1"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ht="15.75" customHeight="1"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ht="15.75" customHeight="1" x14ac:dyDescent="0.2">
      <c r="A104" s="289"/>
      <c r="B104" s="265"/>
      <c r="C104" s="273"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ht="15.75" customHeight="1" x14ac:dyDescent="0.2">
      <c r="A105" s="289"/>
      <c r="B105" s="265"/>
      <c r="C105" s="251"/>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ht="15.75" customHeight="1" x14ac:dyDescent="0.2">
      <c r="A106" s="289"/>
      <c r="B106" s="265"/>
      <c r="C106" s="273"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ht="15.75" customHeight="1" x14ac:dyDescent="0.2">
      <c r="A107" s="289"/>
      <c r="B107" s="265"/>
      <c r="C107" s="251"/>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09"/>
      <c r="B109" s="49" t="s">
        <v>23</v>
      </c>
      <c r="C109" s="49"/>
      <c r="D109" s="24" t="s">
        <v>135</v>
      </c>
      <c r="E109" s="23">
        <v>2</v>
      </c>
      <c r="F109" s="23">
        <v>2</v>
      </c>
      <c r="G109" s="23">
        <v>2</v>
      </c>
      <c r="H109" s="23">
        <v>4</v>
      </c>
      <c r="I109" s="26"/>
      <c r="J109" s="41">
        <v>10</v>
      </c>
      <c r="K109" s="23">
        <v>2</v>
      </c>
      <c r="L109" s="23">
        <v>2</v>
      </c>
      <c r="M109" s="23">
        <v>2</v>
      </c>
      <c r="N109" s="23">
        <v>4</v>
      </c>
      <c r="O109" s="26"/>
      <c r="P109" s="41">
        <v>10</v>
      </c>
      <c r="Q109" s="23">
        <v>2</v>
      </c>
      <c r="R109" s="23">
        <v>2</v>
      </c>
      <c r="S109" s="23">
        <v>2</v>
      </c>
      <c r="T109" s="23">
        <v>4</v>
      </c>
      <c r="U109" s="26"/>
      <c r="V109" s="41">
        <v>10</v>
      </c>
      <c r="W109" s="23">
        <v>2</v>
      </c>
      <c r="X109" s="23">
        <v>2</v>
      </c>
      <c r="Y109" s="23">
        <v>2</v>
      </c>
      <c r="Z109" s="23">
        <v>4</v>
      </c>
      <c r="AA109" s="26"/>
      <c r="AB109" s="41">
        <v>10</v>
      </c>
      <c r="AC109" s="23">
        <v>2</v>
      </c>
      <c r="AD109" s="23">
        <v>2</v>
      </c>
      <c r="AE109" s="23">
        <v>2</v>
      </c>
      <c r="AF109" s="23">
        <v>4</v>
      </c>
      <c r="AG109" s="26"/>
      <c r="AH109" s="41">
        <v>10</v>
      </c>
    </row>
    <row r="110" spans="1:34" x14ac:dyDescent="0.2">
      <c r="A110" s="509"/>
      <c r="B110" s="549"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ht="15.75" customHeight="1" x14ac:dyDescent="0.2">
      <c r="A112" s="509"/>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ht="15.75" customHeight="1" x14ac:dyDescent="0.2">
      <c r="A113" s="509"/>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ht="15.75" customHeight="1" x14ac:dyDescent="0.2">
      <c r="A114" s="509"/>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ht="15.75" customHeight="1" x14ac:dyDescent="0.2">
      <c r="A115" s="509"/>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ht="15.75" customHeight="1" x14ac:dyDescent="0.2">
      <c r="A116" s="509"/>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ht="15.75" customHeight="1" x14ac:dyDescent="0.2">
      <c r="A117" s="509"/>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ht="15.75" customHeight="1" x14ac:dyDescent="0.2">
      <c r="A118" s="509"/>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ht="15.75" customHeight="1" x14ac:dyDescent="0.2">
      <c r="A119" s="509"/>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ht="15.75" customHeight="1" x14ac:dyDescent="0.2">
      <c r="A120" s="509"/>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ht="15.75" customHeight="1" x14ac:dyDescent="0.2">
      <c r="A121" s="509"/>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ht="15.75" customHeight="1" x14ac:dyDescent="0.2">
      <c r="A122" s="509"/>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ht="15.75" customHeight="1" x14ac:dyDescent="0.2">
      <c r="A123" s="510"/>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ht="15.75" customHeight="1"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ht="15.75" customHeight="1"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ht="15.75" customHeight="1"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ht="15.75" customHeight="1"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ht="15.75" customHeight="1"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ht="15.75" customHeight="1"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ht="15.75" customHeight="1"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ht="15.75" customHeight="1"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ht="15.75" customHeight="1"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ht="15.75" customHeight="1"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ht="15.75" customHeight="1"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ht="15.75" customHeight="1"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ht="15.75" customHeight="1"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ht="15.75" customHeight="1"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ht="15.75" customHeight="1"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ht="15.75" customHeight="1"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ht="15.75" customHeight="1"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ht="15.75" customHeight="1"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ht="15.75" customHeight="1"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ht="15.75" customHeight="1"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ht="15.75" customHeight="1"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ht="15.75" customHeight="1"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ht="15.75" customHeight="1"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ht="15.75" customHeight="1"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ht="15.75" customHeight="1"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ht="15.75" customHeight="1" x14ac:dyDescent="0.2">
      <c r="A151" s="251"/>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448" t="s">
        <v>27</v>
      </c>
      <c r="C152" s="448"/>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1:34" ht="15.75" customHeight="1" x14ac:dyDescent="0.2">
      <c r="A153" s="273"/>
      <c r="B153" s="284" t="s">
        <v>126</v>
      </c>
      <c r="C153" s="289"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ht="15.75" customHeight="1" x14ac:dyDescent="0.2">
      <c r="A154" s="273"/>
      <c r="B154" s="284"/>
      <c r="C154" s="289"/>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ht="15.75" customHeight="1" x14ac:dyDescent="0.2">
      <c r="A155" s="273"/>
      <c r="B155" s="284"/>
      <c r="C155" s="289"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ht="15.75" customHeight="1" x14ac:dyDescent="0.2">
      <c r="A156" s="273"/>
      <c r="B156" s="284"/>
      <c r="C156" s="289"/>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ht="15.75" customHeight="1" x14ac:dyDescent="0.2">
      <c r="A157" s="273"/>
      <c r="B157" s="284"/>
      <c r="C157" s="289"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ht="15.75" customHeight="1" x14ac:dyDescent="0.2">
      <c r="A158" s="273"/>
      <c r="B158" s="284"/>
      <c r="C158" s="289"/>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ht="15.75" customHeight="1"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ht="15.75" customHeight="1"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ht="15.75" customHeight="1"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ht="15.75" customHeight="1"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ht="15.75" customHeight="1"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ht="15.75" customHeight="1"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ht="15.75" customHeight="1"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ht="15.75" customHeight="1"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ht="15.75" customHeight="1"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ht="15.75" customHeight="1"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ht="15.75" customHeight="1"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ht="15.75" customHeight="1"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ht="15" customHeight="1" x14ac:dyDescent="0.2">
      <c r="A171" s="273"/>
      <c r="B171" s="291"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ht="15.75" customHeight="1" x14ac:dyDescent="0.2">
      <c r="A172" s="449"/>
      <c r="B172" s="291"/>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ht="15.75" customHeight="1" x14ac:dyDescent="0.2">
      <c r="A173" s="449"/>
      <c r="B173" s="291"/>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ht="15.75" customHeight="1" x14ac:dyDescent="0.2">
      <c r="A174" s="449"/>
      <c r="B174" s="291"/>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ht="15.75" customHeight="1" x14ac:dyDescent="0.2">
      <c r="A175" s="449"/>
      <c r="B175" s="291"/>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ht="15.75" customHeight="1" x14ac:dyDescent="0.2">
      <c r="A176" s="449"/>
      <c r="B176" s="291"/>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ht="18" customHeight="1" x14ac:dyDescent="0.2">
      <c r="A177" s="273"/>
      <c r="B177" s="291"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ht="15.75" customHeight="1" x14ac:dyDescent="0.2">
      <c r="A178" s="449"/>
      <c r="B178" s="291"/>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ht="15.75" customHeight="1" x14ac:dyDescent="0.2">
      <c r="A179" s="449"/>
      <c r="B179" s="291"/>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ht="15.75" customHeight="1" x14ac:dyDescent="0.2">
      <c r="A180" s="449"/>
      <c r="B180" s="291"/>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ht="15.75" customHeight="1" x14ac:dyDescent="0.2">
      <c r="A181" s="449"/>
      <c r="B181" s="291"/>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ht="15.75" customHeight="1" x14ac:dyDescent="0.2">
      <c r="A182" s="449"/>
      <c r="B182" s="291"/>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ht="26.25" customHeight="1" x14ac:dyDescent="0.2">
      <c r="A183" s="273"/>
      <c r="B183" s="291"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ht="15.75" customHeight="1" x14ac:dyDescent="0.2">
      <c r="A184" s="449"/>
      <c r="B184" s="291"/>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ht="15.75" customHeight="1" x14ac:dyDescent="0.2">
      <c r="A185" s="449"/>
      <c r="B185" s="291"/>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ht="15.75" customHeight="1" x14ac:dyDescent="0.2">
      <c r="A186" s="449"/>
      <c r="B186" s="291"/>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ht="15.75" customHeight="1" x14ac:dyDescent="0.2">
      <c r="A187" s="449"/>
      <c r="B187" s="291"/>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ht="15.75" customHeight="1" x14ac:dyDescent="0.2">
      <c r="A188" s="449"/>
      <c r="B188" s="291"/>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75"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ht="15.75" customHeight="1"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15.75"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ht="15.75" customHeight="1"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15.75" customHeight="1" x14ac:dyDescent="0.2">
      <c r="A196" s="289"/>
      <c r="B196" s="288" t="s">
        <v>142</v>
      </c>
      <c r="C196" s="288"/>
      <c r="D196" s="273" t="s">
        <v>78</v>
      </c>
      <c r="E196" s="254">
        <v>0.35580000000000001</v>
      </c>
      <c r="F196" s="254">
        <v>0.35580000000000001</v>
      </c>
      <c r="G196" s="254">
        <v>0.35580000000000001</v>
      </c>
      <c r="H196" s="254">
        <v>0.35580000000000001</v>
      </c>
      <c r="I196" s="45"/>
      <c r="J196" s="254">
        <v>0.35580000000000001</v>
      </c>
      <c r="K196" s="254">
        <v>0.33579999999999999</v>
      </c>
      <c r="L196" s="254">
        <v>0.33579999999999999</v>
      </c>
      <c r="M196" s="254">
        <v>0.33579999999999999</v>
      </c>
      <c r="N196" s="254">
        <v>0.33579999999999999</v>
      </c>
      <c r="O196" s="45"/>
      <c r="P196" s="254">
        <v>0.33579999999999999</v>
      </c>
      <c r="Q196" s="254">
        <v>0.31580000000000003</v>
      </c>
      <c r="R196" s="254">
        <v>0.31580000000000003</v>
      </c>
      <c r="S196" s="254">
        <v>0.31580000000000003</v>
      </c>
      <c r="T196" s="254">
        <v>0.31580000000000003</v>
      </c>
      <c r="U196" s="45"/>
      <c r="V196" s="254">
        <v>0.31580000000000003</v>
      </c>
      <c r="W196" s="254">
        <v>0.29580000000000001</v>
      </c>
      <c r="X196" s="254">
        <v>0.29580000000000001</v>
      </c>
      <c r="Y196" s="254">
        <v>0.29580000000000001</v>
      </c>
      <c r="Z196" s="254">
        <v>0.29580000000000001</v>
      </c>
      <c r="AA196" s="45"/>
      <c r="AB196" s="254">
        <v>0.29580000000000001</v>
      </c>
      <c r="AC196" s="254">
        <v>0.27579999999999999</v>
      </c>
      <c r="AD196" s="254">
        <v>0.27579999999999999</v>
      </c>
      <c r="AE196" s="254">
        <v>0.27579999999999999</v>
      </c>
      <c r="AF196" s="254">
        <v>0.27579999999999999</v>
      </c>
      <c r="AG196" s="29"/>
      <c r="AH196" s="254">
        <v>0.27579999999999999</v>
      </c>
    </row>
    <row r="197" spans="1:34" ht="24"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15.7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f>37.697/(37.69737697+8.208)</f>
        <v>0.82118920458132127</v>
      </c>
      <c r="X198" s="252">
        <f>37.697/(37.69737697+8.208)</f>
        <v>0.82118920458132127</v>
      </c>
      <c r="Y198" s="252">
        <f>37.697/(37.69737697+8.208)</f>
        <v>0.82118920458132127</v>
      </c>
      <c r="Z198" s="252">
        <f>37.697/(37.69737697+8.208)</f>
        <v>0.82118920458132127</v>
      </c>
      <c r="AA198" s="19"/>
      <c r="AB198" s="252">
        <f>37.697/(37.69737697+8.208)</f>
        <v>0.82118920458132127</v>
      </c>
      <c r="AC198" s="252">
        <v>1</v>
      </c>
      <c r="AD198" s="252">
        <v>1</v>
      </c>
      <c r="AE198" s="252">
        <v>1</v>
      </c>
      <c r="AF198" s="252">
        <v>1</v>
      </c>
      <c r="AG198" s="19"/>
      <c r="AH198" s="252">
        <v>1</v>
      </c>
    </row>
    <row r="199" spans="1:34" ht="26.2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ht="15.75" customHeight="1" x14ac:dyDescent="0.2">
      <c r="A200" s="289"/>
      <c r="B200" s="296" t="s">
        <v>147</v>
      </c>
      <c r="C200" s="296"/>
      <c r="D200" s="25" t="s">
        <v>100</v>
      </c>
      <c r="E200" s="250">
        <v>0.9</v>
      </c>
      <c r="F200" s="250">
        <v>0.9</v>
      </c>
      <c r="G200" s="250">
        <v>0.9</v>
      </c>
      <c r="H200" s="250">
        <v>0.9</v>
      </c>
      <c r="I200" s="26"/>
      <c r="J200" s="250">
        <v>0.9</v>
      </c>
      <c r="K200" s="250">
        <v>0.9</v>
      </c>
      <c r="L200" s="250">
        <v>0.9</v>
      </c>
      <c r="M200" s="250">
        <v>0.9</v>
      </c>
      <c r="N200" s="250">
        <v>0.9</v>
      </c>
      <c r="O200" s="26"/>
      <c r="P200" s="250">
        <v>0.9</v>
      </c>
      <c r="Q200" s="250">
        <v>0.9</v>
      </c>
      <c r="R200" s="250">
        <v>0.9</v>
      </c>
      <c r="S200" s="250">
        <v>0.9</v>
      </c>
      <c r="T200" s="250">
        <v>0.9</v>
      </c>
      <c r="U200" s="26"/>
      <c r="V200" s="250">
        <v>0.9</v>
      </c>
      <c r="W200" s="250">
        <v>0.9</v>
      </c>
      <c r="X200" s="250">
        <v>0.9</v>
      </c>
      <c r="Y200" s="250">
        <v>0.9</v>
      </c>
      <c r="Z200" s="250">
        <v>0.9</v>
      </c>
      <c r="AA200" s="26"/>
      <c r="AB200" s="250">
        <v>0.9</v>
      </c>
      <c r="AC200" s="250">
        <v>0.9</v>
      </c>
      <c r="AD200" s="250">
        <v>0.9</v>
      </c>
      <c r="AE200" s="250">
        <v>0.9</v>
      </c>
      <c r="AF200" s="250">
        <v>0.9</v>
      </c>
      <c r="AG200" s="26"/>
      <c r="AH200" s="250">
        <v>0.9</v>
      </c>
    </row>
    <row r="201" spans="1:34" ht="26.25"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ht="15.75" customHeight="1"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ht="15.75" customHeight="1"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ht="15.75" customHeight="1"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ht="15.75" customHeight="1"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ht="15.75" customHeight="1"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ht="15.75" customHeight="1"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ht="15.75" customHeight="1" x14ac:dyDescent="0.2">
      <c r="A208" s="289"/>
      <c r="B208" s="288" t="s">
        <v>130</v>
      </c>
      <c r="C208" s="288"/>
      <c r="D208" s="273" t="s">
        <v>78</v>
      </c>
      <c r="E208" s="249">
        <f>30.797/49.639</f>
        <v>0.62041942827212471</v>
      </c>
      <c r="F208" s="249">
        <f>30.797/49.639</f>
        <v>0.62041942827212471</v>
      </c>
      <c r="G208" s="249">
        <f>30.797/49.639</f>
        <v>0.62041942827212471</v>
      </c>
      <c r="H208" s="249">
        <f>30.797/49.639</f>
        <v>0.62041942827212471</v>
      </c>
      <c r="I208" s="19"/>
      <c r="J208" s="249">
        <f>30.797/49.639</f>
        <v>0.62041942827212471</v>
      </c>
      <c r="K208" s="249">
        <f>30.797/49.639</f>
        <v>0.62041942827212471</v>
      </c>
      <c r="L208" s="249">
        <f>30.797/49.639</f>
        <v>0.62041942827212471</v>
      </c>
      <c r="M208" s="249">
        <f>30.797/49.639</f>
        <v>0.62041942827212471</v>
      </c>
      <c r="N208" s="249">
        <f>30.797/49.639</f>
        <v>0.62041942827212471</v>
      </c>
      <c r="O208" s="19"/>
      <c r="P208" s="249">
        <f>30.797/49.639</f>
        <v>0.62041942827212471</v>
      </c>
      <c r="Q208" s="249">
        <f>30.797/49.639</f>
        <v>0.62041942827212471</v>
      </c>
      <c r="R208" s="249">
        <f>30.797/49.639</f>
        <v>0.62041942827212471</v>
      </c>
      <c r="S208" s="249">
        <f>30.797/49.639</f>
        <v>0.62041942827212471</v>
      </c>
      <c r="T208" s="249">
        <f>30.797/49.639</f>
        <v>0.62041942827212471</v>
      </c>
      <c r="U208" s="19"/>
      <c r="V208" s="249">
        <f>30.797/49.639</f>
        <v>0.62041942827212471</v>
      </c>
      <c r="W208" s="249">
        <f>(30.797+8.208)/49.639</f>
        <v>0.78577328310401096</v>
      </c>
      <c r="X208" s="249">
        <f>(30.797+8.208)/49.639</f>
        <v>0.78577328310401096</v>
      </c>
      <c r="Y208" s="249">
        <f>(30.797+8.208)/49.639</f>
        <v>0.78577328310401096</v>
      </c>
      <c r="Z208" s="249">
        <f>(30.797+8.208)/49.639</f>
        <v>0.78577328310401096</v>
      </c>
      <c r="AA208" s="19"/>
      <c r="AB208" s="249">
        <f>(30.797+8.208)/49.639</f>
        <v>0.78577328310401096</v>
      </c>
      <c r="AC208" s="249">
        <f>(30.797+8.208)/49.639</f>
        <v>0.78577328310401096</v>
      </c>
      <c r="AD208" s="249">
        <f>(30.797+8.208)/49.639</f>
        <v>0.78577328310401096</v>
      </c>
      <c r="AE208" s="249">
        <f>(30.797+8.208)/49.639</f>
        <v>0.78577328310401096</v>
      </c>
      <c r="AF208" s="249">
        <f>(30.797+8.208)/49.639</f>
        <v>0.78577328310401096</v>
      </c>
      <c r="AG208" s="19"/>
      <c r="AH208" s="249">
        <f>(30.797+8.208)/49.639</f>
        <v>0.78577328310401096</v>
      </c>
    </row>
    <row r="209" spans="1:34" ht="15" customHeight="1"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ht="15.75" customHeight="1" x14ac:dyDescent="0.2">
      <c r="A210" s="289"/>
      <c r="B210" s="284" t="s">
        <v>131</v>
      </c>
      <c r="C210" s="284"/>
      <c r="D210" s="273" t="s">
        <v>78</v>
      </c>
      <c r="E210" s="253">
        <f>4077/4077</f>
        <v>1</v>
      </c>
      <c r="F210" s="253">
        <f>4077/4077</f>
        <v>1</v>
      </c>
      <c r="G210" s="253">
        <f>4077/4077</f>
        <v>1</v>
      </c>
      <c r="H210" s="253">
        <f>4077/4077</f>
        <v>1</v>
      </c>
      <c r="I210" s="19"/>
      <c r="J210" s="253">
        <f>4077/4077</f>
        <v>1</v>
      </c>
      <c r="K210" s="253">
        <f>2669/2669</f>
        <v>1</v>
      </c>
      <c r="L210" s="253">
        <f>2669/2669</f>
        <v>1</v>
      </c>
      <c r="M210" s="253">
        <f>2669/2669</f>
        <v>1</v>
      </c>
      <c r="N210" s="253">
        <f>2669/2669</f>
        <v>1</v>
      </c>
      <c r="O210" s="19"/>
      <c r="P210" s="253">
        <f>2669/2669</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ht="15.75" customHeight="1" x14ac:dyDescent="0.2">
      <c r="A211" s="289"/>
      <c r="B211" s="284"/>
      <c r="C211" s="284"/>
      <c r="D211" s="273"/>
      <c r="E211" s="253"/>
      <c r="F211" s="253"/>
      <c r="G211" s="253"/>
      <c r="H211" s="253"/>
      <c r="I211" s="19"/>
      <c r="J211" s="253"/>
      <c r="K211" s="253"/>
      <c r="L211" s="253"/>
      <c r="M211" s="253"/>
      <c r="N211" s="253"/>
      <c r="O211" s="19"/>
      <c r="P211" s="253"/>
      <c r="Q211" s="249"/>
      <c r="R211" s="249"/>
      <c r="S211" s="249"/>
      <c r="T211" s="249"/>
      <c r="U211" s="19"/>
      <c r="V211" s="249"/>
      <c r="W211" s="249"/>
      <c r="X211" s="249"/>
      <c r="Y211" s="249"/>
      <c r="Z211" s="249"/>
      <c r="AA211" s="19"/>
      <c r="AB211" s="249"/>
      <c r="AC211" s="249"/>
      <c r="AD211" s="249"/>
      <c r="AE211" s="249"/>
      <c r="AF211" s="249"/>
      <c r="AG211" s="19"/>
      <c r="AH211" s="249"/>
    </row>
    <row r="212" spans="1:34" ht="15.75" customHeight="1"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ht="15.75" customHeight="1" x14ac:dyDescent="0.2">
      <c r="A213" s="289"/>
      <c r="B213" s="284" t="s">
        <v>43</v>
      </c>
      <c r="C213" s="284"/>
      <c r="D213" s="273" t="s">
        <v>78</v>
      </c>
      <c r="E213" s="249">
        <f>25.4/49.639</f>
        <v>0.51169443381212343</v>
      </c>
      <c r="F213" s="249">
        <f>25.4/49.639</f>
        <v>0.51169443381212343</v>
      </c>
      <c r="G213" s="249">
        <f>25.4/49.639</f>
        <v>0.51169443381212343</v>
      </c>
      <c r="H213" s="249">
        <f>25.4/49.639</f>
        <v>0.51169443381212343</v>
      </c>
      <c r="I213" s="19"/>
      <c r="J213" s="249">
        <f>25.4/49.639</f>
        <v>0.51169443381212343</v>
      </c>
      <c r="K213" s="249">
        <f>25.4/49.639</f>
        <v>0.51169443381212343</v>
      </c>
      <c r="L213" s="249">
        <f>25.4/49.639</f>
        <v>0.51169443381212343</v>
      </c>
      <c r="M213" s="249">
        <f>25.4/49.639</f>
        <v>0.51169443381212343</v>
      </c>
      <c r="N213" s="249">
        <f>25.4/49.639</f>
        <v>0.51169443381212343</v>
      </c>
      <c r="O213" s="19"/>
      <c r="P213" s="249">
        <f>25.4/49.639</f>
        <v>0.51169443381212343</v>
      </c>
      <c r="Q213" s="249">
        <f>25.4/49.639</f>
        <v>0.51169443381212343</v>
      </c>
      <c r="R213" s="249">
        <f>25.4/49.639</f>
        <v>0.51169443381212343</v>
      </c>
      <c r="S213" s="249">
        <f>25.4/49.639</f>
        <v>0.51169443381212343</v>
      </c>
      <c r="T213" s="249">
        <f>25.4/49.639</f>
        <v>0.51169443381212343</v>
      </c>
      <c r="U213" s="19"/>
      <c r="V213" s="249">
        <f>25.4/49.639</f>
        <v>0.51169443381212343</v>
      </c>
      <c r="W213" s="249">
        <f>25.4/49.639</f>
        <v>0.51169443381212343</v>
      </c>
      <c r="X213" s="249">
        <f>25.4/49.639</f>
        <v>0.51169443381212343</v>
      </c>
      <c r="Y213" s="249">
        <f>25.4/49.639</f>
        <v>0.51169443381212343</v>
      </c>
      <c r="Z213" s="249">
        <f>25.4/49.639</f>
        <v>0.51169443381212343</v>
      </c>
      <c r="AA213" s="19"/>
      <c r="AB213" s="249">
        <f>25.4/49.639</f>
        <v>0.51169443381212343</v>
      </c>
      <c r="AC213" s="249">
        <f>25.4/49.639</f>
        <v>0.51169443381212343</v>
      </c>
      <c r="AD213" s="249">
        <f>25.4/49.639</f>
        <v>0.51169443381212343</v>
      </c>
      <c r="AE213" s="249">
        <f>25.4/49.639</f>
        <v>0.51169443381212343</v>
      </c>
      <c r="AF213" s="249">
        <f>25.4/49.639</f>
        <v>0.51169443381212343</v>
      </c>
      <c r="AG213" s="19"/>
      <c r="AH213" s="249">
        <f>25.4/49.639</f>
        <v>0.51169443381212343</v>
      </c>
    </row>
    <row r="214" spans="1:34" ht="21" customHeight="1"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ht="15.75" customHeight="1"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10.177/(10.177+0.779+19.281)</f>
        <v>0.33657439560802993</v>
      </c>
      <c r="X215" s="249">
        <f>10.177/(10.177+0.779+19.281)</f>
        <v>0.33657439560802993</v>
      </c>
      <c r="Y215" s="249">
        <f>10.177/(10.177+0.779+19.281)</f>
        <v>0.33657439560802993</v>
      </c>
      <c r="Z215" s="249">
        <f>10.177/(10.177+0.779+19.281)</f>
        <v>0.33657439560802993</v>
      </c>
      <c r="AA215" s="19"/>
      <c r="AB215" s="249">
        <f>10.177/(10.177+0.779+19.281)</f>
        <v>0.33657439560802993</v>
      </c>
      <c r="AC215" s="249">
        <v>1</v>
      </c>
      <c r="AD215" s="249">
        <v>1</v>
      </c>
      <c r="AE215" s="249">
        <v>1</v>
      </c>
      <c r="AF215" s="249">
        <v>1</v>
      </c>
      <c r="AG215" s="19"/>
      <c r="AH215" s="249">
        <v>1</v>
      </c>
    </row>
    <row r="216" spans="1:34" ht="31.8"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ht="21.75" customHeight="1" x14ac:dyDescent="0.2">
      <c r="A217" s="289"/>
      <c r="B217" s="284" t="s">
        <v>153</v>
      </c>
      <c r="C217" s="284"/>
      <c r="D217" s="25" t="s">
        <v>100</v>
      </c>
      <c r="E217" s="250">
        <v>5.7249999999999996</v>
      </c>
      <c r="F217" s="250">
        <v>5.7249999999999996</v>
      </c>
      <c r="G217" s="250">
        <v>5.7249999999999996</v>
      </c>
      <c r="H217" s="250">
        <v>5.7249999999999996</v>
      </c>
      <c r="I217" s="26"/>
      <c r="J217" s="250">
        <v>5.7249999999999996</v>
      </c>
      <c r="K217" s="250">
        <v>5.7249999999999996</v>
      </c>
      <c r="L217" s="250">
        <v>5.7249999999999996</v>
      </c>
      <c r="M217" s="250">
        <v>5.7249999999999996</v>
      </c>
      <c r="N217" s="250">
        <v>5.7249999999999996</v>
      </c>
      <c r="O217" s="26"/>
      <c r="P217" s="250">
        <v>5.7249999999999996</v>
      </c>
      <c r="Q217" s="250">
        <v>5.7249999999999996</v>
      </c>
      <c r="R217" s="250">
        <v>5.7249999999999996</v>
      </c>
      <c r="S217" s="250">
        <v>5.7249999999999996</v>
      </c>
      <c r="T217" s="250">
        <v>5.7249999999999996</v>
      </c>
      <c r="U217" s="26"/>
      <c r="V217" s="250">
        <v>5.7249999999999996</v>
      </c>
      <c r="W217" s="250">
        <v>5.7249999999999996</v>
      </c>
      <c r="X217" s="250">
        <v>5.7249999999999996</v>
      </c>
      <c r="Y217" s="250">
        <v>5.7249999999999996</v>
      </c>
      <c r="Z217" s="250">
        <v>5.7249999999999996</v>
      </c>
      <c r="AA217" s="26"/>
      <c r="AB217" s="250">
        <v>5.7249999999999996</v>
      </c>
      <c r="AC217" s="250">
        <v>5.7249999999999996</v>
      </c>
      <c r="AD217" s="250">
        <v>5.7249999999999996</v>
      </c>
      <c r="AE217" s="250">
        <v>5.7249999999999996</v>
      </c>
      <c r="AF217" s="250">
        <v>5.7249999999999996</v>
      </c>
      <c r="AG217" s="26"/>
      <c r="AH217" s="250">
        <v>5.7249999999999996</v>
      </c>
    </row>
    <row r="218" spans="1:34" ht="38.4"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c r="J223" s="22"/>
      <c r="K223" s="17" t="s">
        <v>1</v>
      </c>
      <c r="L223" s="17" t="s">
        <v>2</v>
      </c>
      <c r="M223" s="17" t="s">
        <v>3</v>
      </c>
      <c r="N223" s="17" t="s">
        <v>4</v>
      </c>
      <c r="O223" s="22"/>
      <c r="P223" s="22"/>
      <c r="Q223" s="17" t="s">
        <v>1</v>
      </c>
      <c r="R223" s="17" t="s">
        <v>2</v>
      </c>
      <c r="S223" s="17" t="s">
        <v>3</v>
      </c>
      <c r="T223" s="17" t="s">
        <v>4</v>
      </c>
      <c r="U223" s="22"/>
      <c r="V223" s="22"/>
      <c r="W223" s="17"/>
      <c r="X223" s="17"/>
      <c r="Y223" s="17" t="s">
        <v>3</v>
      </c>
      <c r="Z223" s="17" t="s">
        <v>4</v>
      </c>
      <c r="AA223" s="22"/>
      <c r="AB223" s="22"/>
      <c r="AC223" s="17" t="s">
        <v>1</v>
      </c>
      <c r="AD223" s="17" t="s">
        <v>2</v>
      </c>
      <c r="AE223" s="17" t="s">
        <v>3</v>
      </c>
      <c r="AF223" s="17" t="s">
        <v>4</v>
      </c>
      <c r="AG223" s="22"/>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79" t="s">
        <v>105</v>
      </c>
      <c r="C225" s="505"/>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2"/>
    </row>
    <row r="226" spans="1:34" ht="15.75" customHeight="1" x14ac:dyDescent="0.2">
      <c r="A226" s="289"/>
      <c r="B226" s="284" t="s">
        <v>45</v>
      </c>
      <c r="C226" s="284"/>
      <c r="D226" s="25" t="s">
        <v>101</v>
      </c>
      <c r="E226" s="23">
        <v>1254</v>
      </c>
      <c r="F226" s="23">
        <v>1256</v>
      </c>
      <c r="G226" s="23">
        <v>1259</v>
      </c>
      <c r="H226" s="23">
        <v>1261</v>
      </c>
      <c r="I226" s="41"/>
      <c r="J226" s="41">
        <v>1261</v>
      </c>
      <c r="K226" s="23">
        <v>1264</v>
      </c>
      <c r="L226" s="23">
        <v>1266</v>
      </c>
      <c r="M226" s="23">
        <v>1269</v>
      </c>
      <c r="N226" s="23">
        <v>1271</v>
      </c>
      <c r="O226" s="41"/>
      <c r="P226" s="41">
        <v>1271</v>
      </c>
      <c r="Q226" s="23">
        <v>1274</v>
      </c>
      <c r="R226" s="23">
        <v>1276</v>
      </c>
      <c r="S226" s="23">
        <v>1279</v>
      </c>
      <c r="T226" s="23">
        <v>1281</v>
      </c>
      <c r="U226" s="23"/>
      <c r="V226" s="41">
        <v>1281</v>
      </c>
      <c r="W226" s="23">
        <v>1289</v>
      </c>
      <c r="X226" s="23">
        <v>1297</v>
      </c>
      <c r="Y226" s="23">
        <v>1304</v>
      </c>
      <c r="Z226" s="23">
        <v>1312</v>
      </c>
      <c r="AA226" s="41"/>
      <c r="AB226" s="93">
        <v>1312</v>
      </c>
      <c r="AC226" s="23">
        <v>1309</v>
      </c>
      <c r="AD226" s="23">
        <v>1310</v>
      </c>
      <c r="AE226" s="23">
        <v>1311</v>
      </c>
      <c r="AF226" s="23">
        <v>1312</v>
      </c>
      <c r="AG226" s="41"/>
      <c r="AH226" s="93">
        <v>1312</v>
      </c>
    </row>
    <row r="227" spans="1:34" ht="15" customHeight="1" x14ac:dyDescent="0.2">
      <c r="A227" s="289"/>
      <c r="B227" s="284"/>
      <c r="C227" s="284"/>
      <c r="D227" s="25" t="s">
        <v>32</v>
      </c>
      <c r="E227" s="26">
        <v>30.797000000000001</v>
      </c>
      <c r="F227" s="26">
        <v>30.797000000000001</v>
      </c>
      <c r="G227" s="26">
        <v>30.797000000000001</v>
      </c>
      <c r="H227" s="26">
        <v>30.797000000000001</v>
      </c>
      <c r="I227" s="26"/>
      <c r="J227" s="26">
        <v>30.797000000000001</v>
      </c>
      <c r="K227" s="26">
        <v>30.797000000000001</v>
      </c>
      <c r="L227" s="26">
        <v>30.797000000000001</v>
      </c>
      <c r="M227" s="26">
        <v>30.797000000000001</v>
      </c>
      <c r="N227" s="26">
        <v>30.797000000000001</v>
      </c>
      <c r="O227" s="26"/>
      <c r="P227" s="26">
        <v>30.797000000000001</v>
      </c>
      <c r="Q227" s="26">
        <v>30.797000000000001</v>
      </c>
      <c r="R227" s="26">
        <v>30.797000000000001</v>
      </c>
      <c r="S227" s="26">
        <v>30.797000000000001</v>
      </c>
      <c r="T227" s="26">
        <v>30.797000000000001</v>
      </c>
      <c r="U227" s="44"/>
      <c r="V227" s="26">
        <v>30.797000000000001</v>
      </c>
      <c r="W227" s="26">
        <f t="shared" ref="W227:Z228" si="0">30.797+8.208</f>
        <v>39.005000000000003</v>
      </c>
      <c r="X227" s="26">
        <f t="shared" si="0"/>
        <v>39.005000000000003</v>
      </c>
      <c r="Y227" s="26">
        <f t="shared" si="0"/>
        <v>39.005000000000003</v>
      </c>
      <c r="Z227" s="26">
        <f t="shared" si="0"/>
        <v>39.005000000000003</v>
      </c>
      <c r="AA227" s="26"/>
      <c r="AB227" s="26">
        <f>30.797+8.208</f>
        <v>39.005000000000003</v>
      </c>
      <c r="AC227" s="26">
        <f t="shared" ref="AC227:AF228" si="1">30.797+8.208</f>
        <v>39.005000000000003</v>
      </c>
      <c r="AD227" s="26">
        <f t="shared" si="1"/>
        <v>39.005000000000003</v>
      </c>
      <c r="AE227" s="26">
        <f t="shared" si="1"/>
        <v>39.005000000000003</v>
      </c>
      <c r="AF227" s="26">
        <f t="shared" si="1"/>
        <v>39.005000000000003</v>
      </c>
      <c r="AG227" s="26"/>
      <c r="AH227" s="58">
        <f>AB227</f>
        <v>39.005000000000003</v>
      </c>
    </row>
    <row r="228" spans="1:34" ht="15.75" customHeight="1" x14ac:dyDescent="0.2">
      <c r="A228" s="289"/>
      <c r="B228" s="284" t="s">
        <v>46</v>
      </c>
      <c r="C228" s="284"/>
      <c r="D228" s="25" t="s">
        <v>32</v>
      </c>
      <c r="E228" s="26">
        <v>30.797000000000001</v>
      </c>
      <c r="F228" s="26">
        <v>30.797000000000001</v>
      </c>
      <c r="G228" s="26">
        <v>30.797000000000001</v>
      </c>
      <c r="H228" s="26">
        <v>30.797000000000001</v>
      </c>
      <c r="I228" s="26"/>
      <c r="J228" s="26">
        <v>30.797000000000001</v>
      </c>
      <c r="K228" s="26">
        <v>30.797000000000001</v>
      </c>
      <c r="L228" s="26">
        <v>30.797000000000001</v>
      </c>
      <c r="M228" s="26">
        <v>30.797000000000001</v>
      </c>
      <c r="N228" s="26">
        <v>30.797000000000001</v>
      </c>
      <c r="O228" s="26"/>
      <c r="P228" s="26">
        <v>30.797000000000001</v>
      </c>
      <c r="Q228" s="26">
        <v>30.797000000000001</v>
      </c>
      <c r="R228" s="26">
        <v>30.797000000000001</v>
      </c>
      <c r="S228" s="26">
        <v>30.797000000000001</v>
      </c>
      <c r="T228" s="26">
        <v>30.797000000000001</v>
      </c>
      <c r="U228" s="44"/>
      <c r="V228" s="26">
        <v>30.797000000000001</v>
      </c>
      <c r="W228" s="26">
        <f t="shared" si="0"/>
        <v>39.005000000000003</v>
      </c>
      <c r="X228" s="26">
        <f t="shared" si="0"/>
        <v>39.005000000000003</v>
      </c>
      <c r="Y228" s="26">
        <f t="shared" si="0"/>
        <v>39.005000000000003</v>
      </c>
      <c r="Z228" s="26">
        <f t="shared" si="0"/>
        <v>39.005000000000003</v>
      </c>
      <c r="AA228" s="26"/>
      <c r="AB228" s="26">
        <f>30.797+8.208</f>
        <v>39.005000000000003</v>
      </c>
      <c r="AC228" s="26">
        <f t="shared" si="1"/>
        <v>39.005000000000003</v>
      </c>
      <c r="AD228" s="26">
        <f t="shared" si="1"/>
        <v>39.005000000000003</v>
      </c>
      <c r="AE228" s="26">
        <f t="shared" si="1"/>
        <v>39.005000000000003</v>
      </c>
      <c r="AF228" s="26">
        <f t="shared" si="1"/>
        <v>39.005000000000003</v>
      </c>
      <c r="AG228" s="26"/>
      <c r="AH228" s="58">
        <f>AB228</f>
        <v>39.005000000000003</v>
      </c>
    </row>
    <row r="229" spans="1:34" ht="28.8" customHeight="1" x14ac:dyDescent="0.2">
      <c r="A229" s="289"/>
      <c r="B229" s="284"/>
      <c r="C229" s="284"/>
      <c r="D229" s="25" t="s">
        <v>143</v>
      </c>
      <c r="E229" s="47">
        <v>3257.44</v>
      </c>
      <c r="F229" s="47">
        <v>3285.08</v>
      </c>
      <c r="G229" s="47">
        <v>3312.72</v>
      </c>
      <c r="H229" s="47">
        <v>3340.36</v>
      </c>
      <c r="I229" s="41"/>
      <c r="J229" s="41">
        <v>3340.36</v>
      </c>
      <c r="K229" s="47">
        <v>3368</v>
      </c>
      <c r="L229" s="47">
        <v>3395.64</v>
      </c>
      <c r="M229" s="47">
        <v>3423.28</v>
      </c>
      <c r="N229" s="47">
        <v>3450.92</v>
      </c>
      <c r="O229" s="41"/>
      <c r="P229" s="41">
        <v>3450.92</v>
      </c>
      <c r="Q229" s="47">
        <v>3479.01</v>
      </c>
      <c r="R229" s="47">
        <v>3507.1</v>
      </c>
      <c r="S229" s="47">
        <v>3535.19</v>
      </c>
      <c r="T229" s="47">
        <v>3563.28</v>
      </c>
      <c r="U229" s="47"/>
      <c r="V229" s="41">
        <v>3563.28</v>
      </c>
      <c r="W229" s="47">
        <v>3634.915</v>
      </c>
      <c r="X229" s="47">
        <v>3706.55</v>
      </c>
      <c r="Y229" s="47">
        <v>3778.1849999999999</v>
      </c>
      <c r="Z229" s="47">
        <v>3849.82</v>
      </c>
      <c r="AA229" s="41"/>
      <c r="AB229" s="41">
        <v>3849.82</v>
      </c>
      <c r="AC229" s="47">
        <v>3908.665</v>
      </c>
      <c r="AD229" s="47">
        <v>3967.51</v>
      </c>
      <c r="AE229" s="47">
        <v>4026.355</v>
      </c>
      <c r="AF229" s="47">
        <v>4085.2</v>
      </c>
      <c r="AG229" s="41"/>
      <c r="AH229" s="41">
        <v>4085.2</v>
      </c>
    </row>
    <row r="230" spans="1:34" ht="15.75" customHeight="1" x14ac:dyDescent="0.2">
      <c r="A230" s="289"/>
      <c r="B230" s="284" t="s">
        <v>47</v>
      </c>
      <c r="C230" s="284"/>
      <c r="D230" s="25" t="s">
        <v>32</v>
      </c>
      <c r="E230" s="26">
        <v>37.697000000000003</v>
      </c>
      <c r="F230" s="26">
        <v>37.697000000000003</v>
      </c>
      <c r="G230" s="26">
        <v>37.697000000000003</v>
      </c>
      <c r="H230" s="26">
        <v>37.697000000000003</v>
      </c>
      <c r="I230" s="41"/>
      <c r="J230" s="26">
        <v>37.697000000000003</v>
      </c>
      <c r="K230" s="26">
        <v>37.697000000000003</v>
      </c>
      <c r="L230" s="26">
        <v>37.697000000000003</v>
      </c>
      <c r="M230" s="26">
        <v>37.697000000000003</v>
      </c>
      <c r="N230" s="26">
        <v>37.697000000000003</v>
      </c>
      <c r="O230" s="26"/>
      <c r="P230" s="26">
        <v>37.697000000000003</v>
      </c>
      <c r="Q230" s="26">
        <v>37.697000000000003</v>
      </c>
      <c r="R230" s="26">
        <v>37.697000000000003</v>
      </c>
      <c r="S230" s="26">
        <v>37.697000000000003</v>
      </c>
      <c r="T230" s="26">
        <v>37.697000000000003</v>
      </c>
      <c r="U230" s="44"/>
      <c r="V230" s="26">
        <v>37.697000000000003</v>
      </c>
      <c r="W230" s="26">
        <f>37.697+8.208</f>
        <v>45.905000000000001</v>
      </c>
      <c r="X230" s="26">
        <f>37.697+8.208</f>
        <v>45.905000000000001</v>
      </c>
      <c r="Y230" s="26">
        <f>37.697+8.208</f>
        <v>45.905000000000001</v>
      </c>
      <c r="Z230" s="26">
        <f>37.697+8.208</f>
        <v>45.905000000000001</v>
      </c>
      <c r="AA230" s="26"/>
      <c r="AB230" s="26">
        <f>37.697+8.208</f>
        <v>45.905000000000001</v>
      </c>
      <c r="AC230" s="26">
        <f>37.697+8.208</f>
        <v>45.905000000000001</v>
      </c>
      <c r="AD230" s="26">
        <f>37.697+8.208</f>
        <v>45.905000000000001</v>
      </c>
      <c r="AE230" s="26">
        <f>37.697+8.208</f>
        <v>45.905000000000001</v>
      </c>
      <c r="AF230" s="26">
        <f>37.697+8.208</f>
        <v>45.905000000000001</v>
      </c>
      <c r="AG230" s="26"/>
      <c r="AH230" s="58">
        <f>AB230</f>
        <v>45.905000000000001</v>
      </c>
    </row>
    <row r="231" spans="1:34" ht="28.8" customHeight="1" x14ac:dyDescent="0.2">
      <c r="A231" s="289"/>
      <c r="B231" s="284"/>
      <c r="C231" s="284"/>
      <c r="D231" s="25" t="s">
        <v>143</v>
      </c>
      <c r="E231" s="47">
        <v>3257.44</v>
      </c>
      <c r="F231" s="47">
        <v>3285.08</v>
      </c>
      <c r="G231" s="47">
        <v>3312.72</v>
      </c>
      <c r="H231" s="47">
        <v>3340.36</v>
      </c>
      <c r="I231" s="41"/>
      <c r="J231" s="41">
        <v>3340.36</v>
      </c>
      <c r="K231" s="47">
        <v>3368</v>
      </c>
      <c r="L231" s="47">
        <v>3395.64</v>
      </c>
      <c r="M231" s="47">
        <v>3423.28</v>
      </c>
      <c r="N231" s="47">
        <v>3450.92</v>
      </c>
      <c r="O231" s="41"/>
      <c r="P231" s="41">
        <v>3450.92</v>
      </c>
      <c r="Q231" s="47">
        <v>3479.01</v>
      </c>
      <c r="R231" s="47">
        <v>3507.1</v>
      </c>
      <c r="S231" s="47">
        <v>3535.19</v>
      </c>
      <c r="T231" s="47">
        <v>3563.28</v>
      </c>
      <c r="U231" s="47"/>
      <c r="V231" s="41">
        <v>3563.28</v>
      </c>
      <c r="W231" s="47">
        <v>3634.915</v>
      </c>
      <c r="X231" s="47">
        <v>3706.55</v>
      </c>
      <c r="Y231" s="47">
        <v>3778.1849999999999</v>
      </c>
      <c r="Z231" s="47">
        <v>3849.82</v>
      </c>
      <c r="AA231" s="41"/>
      <c r="AB231" s="41">
        <v>3849.82</v>
      </c>
      <c r="AC231" s="47">
        <v>3908.665</v>
      </c>
      <c r="AD231" s="47">
        <v>3967.51</v>
      </c>
      <c r="AE231" s="47">
        <v>4026.355</v>
      </c>
      <c r="AF231" s="47">
        <v>4085.2</v>
      </c>
      <c r="AG231" s="41"/>
      <c r="AH231" s="41">
        <v>4085.2</v>
      </c>
    </row>
    <row r="232" spans="1:34" x14ac:dyDescent="0.2">
      <c r="A232" s="289"/>
      <c r="B232" s="284" t="s">
        <v>36</v>
      </c>
      <c r="C232" s="284"/>
      <c r="D232" s="25" t="s">
        <v>144</v>
      </c>
      <c r="E232" s="23">
        <v>1085</v>
      </c>
      <c r="F232" s="23">
        <v>1087</v>
      </c>
      <c r="G232" s="23">
        <v>1090</v>
      </c>
      <c r="H232" s="23">
        <v>1092</v>
      </c>
      <c r="I232" s="41"/>
      <c r="J232" s="41">
        <v>1092</v>
      </c>
      <c r="K232" s="23">
        <v>1095</v>
      </c>
      <c r="L232" s="23">
        <v>1097</v>
      </c>
      <c r="M232" s="23">
        <v>1100</v>
      </c>
      <c r="N232" s="23">
        <v>1102</v>
      </c>
      <c r="O232" s="41"/>
      <c r="P232" s="41">
        <v>1102</v>
      </c>
      <c r="Q232" s="23">
        <v>1105</v>
      </c>
      <c r="R232" s="23">
        <v>1107</v>
      </c>
      <c r="S232" s="23">
        <v>1110</v>
      </c>
      <c r="T232" s="23">
        <v>1112</v>
      </c>
      <c r="U232" s="41"/>
      <c r="V232" s="41">
        <v>1112</v>
      </c>
      <c r="W232" s="23">
        <v>1115</v>
      </c>
      <c r="X232" s="23">
        <v>1117</v>
      </c>
      <c r="Y232" s="23">
        <v>1120</v>
      </c>
      <c r="Z232" s="23">
        <v>1122</v>
      </c>
      <c r="AA232" s="41"/>
      <c r="AB232" s="41">
        <v>1122</v>
      </c>
      <c r="AC232" s="23">
        <v>1125</v>
      </c>
      <c r="AD232" s="23">
        <v>1127</v>
      </c>
      <c r="AE232" s="23">
        <v>1130</v>
      </c>
      <c r="AF232" s="23">
        <v>1132</v>
      </c>
      <c r="AG232" s="41"/>
      <c r="AH232" s="41">
        <v>1132</v>
      </c>
    </row>
    <row r="233" spans="1:34" x14ac:dyDescent="0.2">
      <c r="A233" s="289"/>
      <c r="B233" s="284"/>
      <c r="C233" s="284"/>
      <c r="D233" s="25" t="s">
        <v>32</v>
      </c>
      <c r="E233" s="26">
        <v>25.4</v>
      </c>
      <c r="F233" s="26">
        <v>25.4</v>
      </c>
      <c r="G233" s="26">
        <v>25.4</v>
      </c>
      <c r="H233" s="26">
        <v>25.4</v>
      </c>
      <c r="I233" s="41"/>
      <c r="J233" s="26">
        <v>25.4</v>
      </c>
      <c r="K233" s="26">
        <v>25.4</v>
      </c>
      <c r="L233" s="26">
        <v>25.4</v>
      </c>
      <c r="M233" s="26">
        <v>25.4</v>
      </c>
      <c r="N233" s="26">
        <v>25.4</v>
      </c>
      <c r="O233" s="41"/>
      <c r="P233" s="26">
        <v>25.4</v>
      </c>
      <c r="Q233" s="26">
        <v>25.4</v>
      </c>
      <c r="R233" s="26">
        <v>25.4</v>
      </c>
      <c r="S233" s="26">
        <v>25.4</v>
      </c>
      <c r="T233" s="26">
        <v>25.4</v>
      </c>
      <c r="U233" s="41"/>
      <c r="V233" s="26">
        <v>25.4</v>
      </c>
      <c r="W233" s="26">
        <v>25.4</v>
      </c>
      <c r="X233" s="26">
        <v>25.4</v>
      </c>
      <c r="Y233" s="26">
        <v>25.4</v>
      </c>
      <c r="Z233" s="26">
        <v>25.4</v>
      </c>
      <c r="AA233" s="41"/>
      <c r="AB233" s="26">
        <v>25.4</v>
      </c>
      <c r="AC233" s="26">
        <v>25.4</v>
      </c>
      <c r="AD233" s="26">
        <v>25.4</v>
      </c>
      <c r="AE233" s="26">
        <v>25.4</v>
      </c>
      <c r="AF233" s="26">
        <v>25.4</v>
      </c>
      <c r="AG233" s="41"/>
      <c r="AH233" s="26">
        <v>25.4</v>
      </c>
    </row>
    <row r="234" spans="1:34" ht="15.75" customHeight="1" x14ac:dyDescent="0.2">
      <c r="A234" s="289"/>
      <c r="B234" s="284" t="s">
        <v>48</v>
      </c>
      <c r="C234" s="284"/>
      <c r="D234" s="24" t="s">
        <v>143</v>
      </c>
      <c r="E234" s="41">
        <v>2770.6750000000002</v>
      </c>
      <c r="F234" s="41">
        <v>2796.29</v>
      </c>
      <c r="G234" s="41">
        <v>2821.9050000000002</v>
      </c>
      <c r="H234" s="41">
        <v>2847.52</v>
      </c>
      <c r="I234" s="41"/>
      <c r="J234" s="47">
        <v>2847.52</v>
      </c>
      <c r="K234" s="47">
        <v>2873.1350000000002</v>
      </c>
      <c r="L234" s="47">
        <v>2898.75</v>
      </c>
      <c r="M234" s="47">
        <v>2924.3649999999998</v>
      </c>
      <c r="N234" s="47">
        <v>2949.98</v>
      </c>
      <c r="O234" s="41"/>
      <c r="P234" s="41">
        <v>2949.98</v>
      </c>
      <c r="Q234" s="47">
        <v>2976.0450000000001</v>
      </c>
      <c r="R234" s="47">
        <v>3002.11</v>
      </c>
      <c r="S234" s="47">
        <v>3028.1750000000002</v>
      </c>
      <c r="T234" s="47">
        <v>3054.24</v>
      </c>
      <c r="U234" s="41"/>
      <c r="V234" s="41">
        <v>3054.24</v>
      </c>
      <c r="W234" s="47">
        <v>3080.7550000000001</v>
      </c>
      <c r="X234" s="47">
        <v>3107.27</v>
      </c>
      <c r="Y234" s="47">
        <v>3133.7849999999999</v>
      </c>
      <c r="Z234" s="47">
        <v>3160.3</v>
      </c>
      <c r="AA234" s="41"/>
      <c r="AB234" s="41">
        <v>3160.3</v>
      </c>
      <c r="AC234" s="47">
        <v>3187.2649999999999</v>
      </c>
      <c r="AD234" s="47">
        <v>3214.23</v>
      </c>
      <c r="AE234" s="47">
        <v>3241.1950000000002</v>
      </c>
      <c r="AF234" s="47">
        <v>3268.16</v>
      </c>
      <c r="AG234" s="41"/>
      <c r="AH234" s="41">
        <v>3268.16</v>
      </c>
    </row>
    <row r="235" spans="1:34" x14ac:dyDescent="0.2">
      <c r="A235" s="289"/>
      <c r="B235" s="284"/>
      <c r="C235" s="284"/>
      <c r="D235" s="24" t="s">
        <v>143</v>
      </c>
      <c r="E235" s="47">
        <f>5386+90</f>
        <v>5476</v>
      </c>
      <c r="F235" s="47">
        <f>5386+90</f>
        <v>5476</v>
      </c>
      <c r="G235" s="47">
        <f>5386+90</f>
        <v>5476</v>
      </c>
      <c r="H235" s="47">
        <f>5386+90</f>
        <v>5476</v>
      </c>
      <c r="I235" s="41"/>
      <c r="J235" s="47">
        <f>5386+90</f>
        <v>5476</v>
      </c>
      <c r="K235" s="41">
        <f>E235+90</f>
        <v>5566</v>
      </c>
      <c r="L235" s="41">
        <f>F235+90</f>
        <v>5566</v>
      </c>
      <c r="M235" s="41">
        <f>G235+90</f>
        <v>5566</v>
      </c>
      <c r="N235" s="41">
        <f>H235+90</f>
        <v>5566</v>
      </c>
      <c r="O235" s="41"/>
      <c r="P235" s="41">
        <f>J235+90</f>
        <v>5566</v>
      </c>
      <c r="Q235" s="41">
        <f>K235+90</f>
        <v>5656</v>
      </c>
      <c r="R235" s="41">
        <f>L235+90</f>
        <v>5656</v>
      </c>
      <c r="S235" s="41">
        <f>M235+90</f>
        <v>5656</v>
      </c>
      <c r="T235" s="41">
        <f>N235+90</f>
        <v>5656</v>
      </c>
      <c r="U235" s="41"/>
      <c r="V235" s="41">
        <f>P235+90</f>
        <v>5656</v>
      </c>
      <c r="W235" s="41">
        <f>Q235+90</f>
        <v>5746</v>
      </c>
      <c r="X235" s="41">
        <f>R235+90</f>
        <v>5746</v>
      </c>
      <c r="Y235" s="41">
        <f>S235+90</f>
        <v>5746</v>
      </c>
      <c r="Z235" s="41">
        <f>T235+90</f>
        <v>5746</v>
      </c>
      <c r="AA235" s="41"/>
      <c r="AB235" s="41">
        <f>V235+90</f>
        <v>5746</v>
      </c>
      <c r="AC235" s="41">
        <f>W235+90</f>
        <v>5836</v>
      </c>
      <c r="AD235" s="41">
        <f>X235+90</f>
        <v>5836</v>
      </c>
      <c r="AE235" s="41">
        <f>Y235+90</f>
        <v>5836</v>
      </c>
      <c r="AF235" s="41">
        <f>Z235+90</f>
        <v>5836</v>
      </c>
      <c r="AG235" s="41"/>
      <c r="AH235" s="41">
        <f>AB235+90</f>
        <v>5836</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ht="15.75" customHeight="1"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ht="15.75" customHeight="1"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ht="15.75" customHeight="1"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ht="15.75" customHeight="1"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ht="23.25" customHeight="1"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ht="18" customHeight="1"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ht="15.75" customHeight="1"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ht="15.75" customHeight="1"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ht="15.75" customHeight="1"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ht="15.75" customHeight="1"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ht="15.75" customHeight="1"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ht="15.75" customHeight="1"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ht="15.75" customHeight="1"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ht="15.75" customHeight="1"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ht="15.75" customHeight="1"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ht="15.75" customHeight="1"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ht="15.75" customHeight="1"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ht="15.75" customHeight="1"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sheetData>
  <mergeCells count="2951">
    <mergeCell ref="B195:AH195"/>
    <mergeCell ref="B212:AH212"/>
    <mergeCell ref="B225:AH225"/>
    <mergeCell ref="B236:AH236"/>
    <mergeCell ref="A2:P2"/>
    <mergeCell ref="A3:J3"/>
    <mergeCell ref="A8:T8"/>
    <mergeCell ref="B39:AH39"/>
    <mergeCell ref="B58:AH58"/>
    <mergeCell ref="J253:J254"/>
    <mergeCell ref="P253:P254"/>
    <mergeCell ref="V253:V254"/>
    <mergeCell ref="AB253:AB254"/>
    <mergeCell ref="AH253:AH254"/>
    <mergeCell ref="J249:J250"/>
    <mergeCell ref="P249:P250"/>
    <mergeCell ref="V249:V250"/>
    <mergeCell ref="AB249:AB250"/>
    <mergeCell ref="AH249:AH250"/>
    <mergeCell ref="J251:J252"/>
    <mergeCell ref="P251:P252"/>
    <mergeCell ref="V251:V252"/>
    <mergeCell ref="AB251:AB252"/>
    <mergeCell ref="AH251:AH252"/>
    <mergeCell ref="N249:N250"/>
    <mergeCell ref="Q249:Q250"/>
    <mergeCell ref="R249:R250"/>
    <mergeCell ref="S249:S250"/>
    <mergeCell ref="J245:J246"/>
    <mergeCell ref="P245:P246"/>
    <mergeCell ref="V245:V246"/>
    <mergeCell ref="AB245:AB246"/>
    <mergeCell ref="AH245:AH246"/>
    <mergeCell ref="J247:J248"/>
    <mergeCell ref="P247:P248"/>
    <mergeCell ref="V247:V248"/>
    <mergeCell ref="AB247:AB248"/>
    <mergeCell ref="AH247:AH248"/>
    <mergeCell ref="J241:J242"/>
    <mergeCell ref="P241:P242"/>
    <mergeCell ref="V241:V242"/>
    <mergeCell ref="AB241:AB242"/>
    <mergeCell ref="AH241:AH242"/>
    <mergeCell ref="J243:J244"/>
    <mergeCell ref="P243:P244"/>
    <mergeCell ref="V243:V244"/>
    <mergeCell ref="AB243:AB244"/>
    <mergeCell ref="AH243:AH244"/>
    <mergeCell ref="J237:J238"/>
    <mergeCell ref="P237:P238"/>
    <mergeCell ref="V237:V238"/>
    <mergeCell ref="AB237:AB238"/>
    <mergeCell ref="AH237:AH238"/>
    <mergeCell ref="J239:J240"/>
    <mergeCell ref="P239:P240"/>
    <mergeCell ref="V239:V240"/>
    <mergeCell ref="AB239:AB240"/>
    <mergeCell ref="AH239:AH240"/>
    <mergeCell ref="AD237:AD238"/>
    <mergeCell ref="AE237:AE238"/>
    <mergeCell ref="AF237:AF238"/>
    <mergeCell ref="AD239:AD240"/>
    <mergeCell ref="AE239:AE240"/>
    <mergeCell ref="AF239:AF240"/>
    <mergeCell ref="J217:J218"/>
    <mergeCell ref="P217:P218"/>
    <mergeCell ref="V217:V218"/>
    <mergeCell ref="AB217:AB218"/>
    <mergeCell ref="AH217:AH218"/>
    <mergeCell ref="AH213:AH214"/>
    <mergeCell ref="M213:M214"/>
    <mergeCell ref="N213:N214"/>
    <mergeCell ref="N215:N216"/>
    <mergeCell ref="M217:M218"/>
    <mergeCell ref="G222:H222"/>
    <mergeCell ref="M222:N222"/>
    <mergeCell ref="S222:T222"/>
    <mergeCell ref="Y222:Z222"/>
    <mergeCell ref="AE222:AF222"/>
    <mergeCell ref="J215:J216"/>
    <mergeCell ref="P215:P216"/>
    <mergeCell ref="V215:V216"/>
    <mergeCell ref="AB215:AB216"/>
    <mergeCell ref="M215:M216"/>
    <mergeCell ref="R215:R216"/>
    <mergeCell ref="S215:S216"/>
    <mergeCell ref="T215:T216"/>
    <mergeCell ref="Q217:Q218"/>
    <mergeCell ref="W217:W218"/>
    <mergeCell ref="X217:X218"/>
    <mergeCell ref="Y217:Y218"/>
    <mergeCell ref="Z217:Z218"/>
    <mergeCell ref="R217:R218"/>
    <mergeCell ref="S217:S218"/>
    <mergeCell ref="T217:T218"/>
    <mergeCell ref="AE215:AE216"/>
    <mergeCell ref="J210:J211"/>
    <mergeCell ref="P210:P211"/>
    <mergeCell ref="V210:V211"/>
    <mergeCell ref="AB210:AB211"/>
    <mergeCell ref="AH210:AH211"/>
    <mergeCell ref="AH215:AH216"/>
    <mergeCell ref="J213:J214"/>
    <mergeCell ref="P213:P214"/>
    <mergeCell ref="V213:V214"/>
    <mergeCell ref="AB213:AB214"/>
    <mergeCell ref="J206:J207"/>
    <mergeCell ref="P206:P207"/>
    <mergeCell ref="V206:V207"/>
    <mergeCell ref="AB206:AB207"/>
    <mergeCell ref="AH206:AH207"/>
    <mergeCell ref="J208:J209"/>
    <mergeCell ref="P208:P209"/>
    <mergeCell ref="V208:V209"/>
    <mergeCell ref="AB208:AB209"/>
    <mergeCell ref="AH208:AH209"/>
    <mergeCell ref="K206:K207"/>
    <mergeCell ref="L206:L207"/>
    <mergeCell ref="M206:M207"/>
    <mergeCell ref="N206:N207"/>
    <mergeCell ref="K208:K209"/>
    <mergeCell ref="L208:L209"/>
    <mergeCell ref="M208:M209"/>
    <mergeCell ref="N208:N209"/>
    <mergeCell ref="K210:K211"/>
    <mergeCell ref="L210:L211"/>
    <mergeCell ref="M210:M211"/>
    <mergeCell ref="N210:N211"/>
    <mergeCell ref="AH202:AH203"/>
    <mergeCell ref="D204:D205"/>
    <mergeCell ref="J204:J205"/>
    <mergeCell ref="P204:P205"/>
    <mergeCell ref="V204:V205"/>
    <mergeCell ref="AB204:AB205"/>
    <mergeCell ref="AH204:AH205"/>
    <mergeCell ref="E202:E203"/>
    <mergeCell ref="F202:F203"/>
    <mergeCell ref="G202:G203"/>
    <mergeCell ref="J200:J201"/>
    <mergeCell ref="P200:P201"/>
    <mergeCell ref="V200:V201"/>
    <mergeCell ref="AB200:AB201"/>
    <mergeCell ref="AH200:AH201"/>
    <mergeCell ref="D202:D203"/>
    <mergeCell ref="J202:J203"/>
    <mergeCell ref="P202:P203"/>
    <mergeCell ref="V202:V203"/>
    <mergeCell ref="AB202:AB203"/>
    <mergeCell ref="J196:J197"/>
    <mergeCell ref="P196:P197"/>
    <mergeCell ref="V196:V197"/>
    <mergeCell ref="AB196:AB197"/>
    <mergeCell ref="AH196:AH197"/>
    <mergeCell ref="J198:J199"/>
    <mergeCell ref="P198:P199"/>
    <mergeCell ref="V198:V199"/>
    <mergeCell ref="AB198:AB199"/>
    <mergeCell ref="AH198:AH199"/>
    <mergeCell ref="J190:J191"/>
    <mergeCell ref="P190:P191"/>
    <mergeCell ref="V190:V191"/>
    <mergeCell ref="AB190:AB191"/>
    <mergeCell ref="AH190:AH191"/>
    <mergeCell ref="J192:J193"/>
    <mergeCell ref="P192:P193"/>
    <mergeCell ref="V192:V193"/>
    <mergeCell ref="AB192:AB193"/>
    <mergeCell ref="AH192:AH193"/>
    <mergeCell ref="AD190:AD191"/>
    <mergeCell ref="AE190:AE191"/>
    <mergeCell ref="AF190:AF191"/>
    <mergeCell ref="AD192:AD193"/>
    <mergeCell ref="AE192:AE193"/>
    <mergeCell ref="AF192:AF193"/>
    <mergeCell ref="Q196:Q197"/>
    <mergeCell ref="R196:R197"/>
    <mergeCell ref="S196:S197"/>
    <mergeCell ref="T196:T197"/>
    <mergeCell ref="Q198:Q199"/>
    <mergeCell ref="R198:R199"/>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AD185:AD186"/>
    <mergeCell ref="AE185:AE186"/>
    <mergeCell ref="AF185:AF186"/>
    <mergeCell ref="AD187:AD188"/>
    <mergeCell ref="AE187:AE188"/>
    <mergeCell ref="AF187:AF188"/>
    <mergeCell ref="V177:V178"/>
    <mergeCell ref="AB177:AB178"/>
    <mergeCell ref="AH177:AH178"/>
    <mergeCell ref="J179:J180"/>
    <mergeCell ref="P179:P180"/>
    <mergeCell ref="V179:V180"/>
    <mergeCell ref="AB179:AB180"/>
    <mergeCell ref="AH179:AH180"/>
    <mergeCell ref="V173:V174"/>
    <mergeCell ref="AB173:AB174"/>
    <mergeCell ref="AH173:AH174"/>
    <mergeCell ref="J175:J176"/>
    <mergeCell ref="P175:P176"/>
    <mergeCell ref="V175:V176"/>
    <mergeCell ref="AB175:AB176"/>
    <mergeCell ref="AH175:AH176"/>
    <mergeCell ref="V169:V170"/>
    <mergeCell ref="AB169:AB170"/>
    <mergeCell ref="AH169:AH170"/>
    <mergeCell ref="J171:J172"/>
    <mergeCell ref="P171:P172"/>
    <mergeCell ref="V171:V172"/>
    <mergeCell ref="AB171:AB172"/>
    <mergeCell ref="AH171:AH172"/>
    <mergeCell ref="X169:X170"/>
    <mergeCell ref="Y169:Y170"/>
    <mergeCell ref="Z169:Z170"/>
    <mergeCell ref="AC169:AC170"/>
    <mergeCell ref="AD169:AD170"/>
    <mergeCell ref="AE169:AE170"/>
    <mergeCell ref="AF169:AF170"/>
    <mergeCell ref="AD171:AD172"/>
    <mergeCell ref="V165:V166"/>
    <mergeCell ref="AB165:AB166"/>
    <mergeCell ref="AH165:AH166"/>
    <mergeCell ref="J167:J168"/>
    <mergeCell ref="P167:P168"/>
    <mergeCell ref="V167:V168"/>
    <mergeCell ref="AB167:AB168"/>
    <mergeCell ref="AH167:AH168"/>
    <mergeCell ref="V161:V162"/>
    <mergeCell ref="AB161:AB162"/>
    <mergeCell ref="AH161:AH162"/>
    <mergeCell ref="J163:J164"/>
    <mergeCell ref="P163:P164"/>
    <mergeCell ref="V163:V164"/>
    <mergeCell ref="AB163:AB164"/>
    <mergeCell ref="AH163:AH164"/>
    <mergeCell ref="V157:V158"/>
    <mergeCell ref="AB157:AB158"/>
    <mergeCell ref="AH157:AH158"/>
    <mergeCell ref="J159:J160"/>
    <mergeCell ref="P159:P160"/>
    <mergeCell ref="V159:V160"/>
    <mergeCell ref="AB159:AB160"/>
    <mergeCell ref="AH159:AH160"/>
    <mergeCell ref="Z157:Z158"/>
    <mergeCell ref="AC157:AC158"/>
    <mergeCell ref="AD157:AD158"/>
    <mergeCell ref="AE157:AE158"/>
    <mergeCell ref="AF157:AF158"/>
    <mergeCell ref="AD159:AD160"/>
    <mergeCell ref="AE159:AE160"/>
    <mergeCell ref="AF159:AF160"/>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AG148:AG149"/>
    <mergeCell ref="Y150:Y151"/>
    <mergeCell ref="Z150:Z151"/>
    <mergeCell ref="AA150:AA151"/>
    <mergeCell ref="AC150:AC151"/>
    <mergeCell ref="AD150:AD151"/>
    <mergeCell ref="AE150:AE151"/>
    <mergeCell ref="AF150:AF151"/>
    <mergeCell ref="AG150:AG151"/>
    <mergeCell ref="AD155:AD156"/>
    <mergeCell ref="AE155:AE156"/>
    <mergeCell ref="AF155:AF156"/>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K137:K138"/>
    <mergeCell ref="L137:L138"/>
    <mergeCell ref="M137:M138"/>
    <mergeCell ref="N137:N138"/>
    <mergeCell ref="O137:O138"/>
    <mergeCell ref="Q137:Q138"/>
    <mergeCell ref="R137:R138"/>
    <mergeCell ref="S137:S138"/>
    <mergeCell ref="T137:T138"/>
    <mergeCell ref="U137:U138"/>
    <mergeCell ref="W137:W138"/>
    <mergeCell ref="X137:X138"/>
    <mergeCell ref="J133:J134"/>
    <mergeCell ref="P133:P134"/>
    <mergeCell ref="V133:V134"/>
    <mergeCell ref="AB133:AB134"/>
    <mergeCell ref="AH133:AH134"/>
    <mergeCell ref="J135:J136"/>
    <mergeCell ref="P135:P136"/>
    <mergeCell ref="V135:V136"/>
    <mergeCell ref="AB135:AB136"/>
    <mergeCell ref="AH135:AH136"/>
    <mergeCell ref="AH129:AH130"/>
    <mergeCell ref="J131:J132"/>
    <mergeCell ref="P131:P132"/>
    <mergeCell ref="V131:V132"/>
    <mergeCell ref="AB131:AB132"/>
    <mergeCell ref="AH131:AH132"/>
    <mergeCell ref="J122:J123"/>
    <mergeCell ref="P122:P123"/>
    <mergeCell ref="V122:V123"/>
    <mergeCell ref="AB122:AB123"/>
    <mergeCell ref="AH122:AH123"/>
    <mergeCell ref="J127:J128"/>
    <mergeCell ref="P127:P128"/>
    <mergeCell ref="V127:V128"/>
    <mergeCell ref="AB127:AB128"/>
    <mergeCell ref="AH127:AH128"/>
    <mergeCell ref="Y125:Y126"/>
    <mergeCell ref="Z125:Z126"/>
    <mergeCell ref="AA125:AA126"/>
    <mergeCell ref="AB125:AB126"/>
    <mergeCell ref="AC125:AC126"/>
    <mergeCell ref="AD125:AD126"/>
    <mergeCell ref="AH118:AH119"/>
    <mergeCell ref="J120:J121"/>
    <mergeCell ref="P120:P121"/>
    <mergeCell ref="V120:V121"/>
    <mergeCell ref="AB120:AB121"/>
    <mergeCell ref="AH120:AH121"/>
    <mergeCell ref="J114:J115"/>
    <mergeCell ref="P114:P115"/>
    <mergeCell ref="V114:V115"/>
    <mergeCell ref="AB114:AB115"/>
    <mergeCell ref="AH114:AH115"/>
    <mergeCell ref="J116:J117"/>
    <mergeCell ref="P116:P117"/>
    <mergeCell ref="V116:V117"/>
    <mergeCell ref="AB116:AB117"/>
    <mergeCell ref="AH116:AH117"/>
    <mergeCell ref="AD114:AD115"/>
    <mergeCell ref="AE114:AE115"/>
    <mergeCell ref="AF114:AF115"/>
    <mergeCell ref="AD116:AD117"/>
    <mergeCell ref="AE116:AE117"/>
    <mergeCell ref="AF116:AF117"/>
    <mergeCell ref="AD118:AD119"/>
    <mergeCell ref="AE118:AE119"/>
    <mergeCell ref="AF118:AF119"/>
    <mergeCell ref="AD120:AD121"/>
    <mergeCell ref="AE120:AE121"/>
    <mergeCell ref="AF120:AF121"/>
    <mergeCell ref="AH110:AH111"/>
    <mergeCell ref="J112:J113"/>
    <mergeCell ref="P112:P113"/>
    <mergeCell ref="V112:V113"/>
    <mergeCell ref="AB112:AB113"/>
    <mergeCell ref="AH112:AH113"/>
    <mergeCell ref="J104:J105"/>
    <mergeCell ref="P104:P105"/>
    <mergeCell ref="V104:V105"/>
    <mergeCell ref="AB104:AB105"/>
    <mergeCell ref="AH104:AH105"/>
    <mergeCell ref="J106:J107"/>
    <mergeCell ref="P106:P107"/>
    <mergeCell ref="V106:V107"/>
    <mergeCell ref="AB106:AB107"/>
    <mergeCell ref="AH106:AH107"/>
    <mergeCell ref="AD106:AD107"/>
    <mergeCell ref="AE106:AE107"/>
    <mergeCell ref="AF106:AF107"/>
    <mergeCell ref="AD110:AD111"/>
    <mergeCell ref="AE110:AE111"/>
    <mergeCell ref="AF110:AF111"/>
    <mergeCell ref="AD112:AD113"/>
    <mergeCell ref="AE112:AE113"/>
    <mergeCell ref="AF112:AF113"/>
    <mergeCell ref="AH100:AH101"/>
    <mergeCell ref="J102:J103"/>
    <mergeCell ref="P102:P103"/>
    <mergeCell ref="V102:V103"/>
    <mergeCell ref="AB102:AB103"/>
    <mergeCell ref="AH102:AH103"/>
    <mergeCell ref="AH96:AH97"/>
    <mergeCell ref="D98:D99"/>
    <mergeCell ref="J98:J99"/>
    <mergeCell ref="P98:P99"/>
    <mergeCell ref="V98:V99"/>
    <mergeCell ref="AB98:AB99"/>
    <mergeCell ref="AH98:AH99"/>
    <mergeCell ref="L96:L97"/>
    <mergeCell ref="M96:M97"/>
    <mergeCell ref="N96:N97"/>
    <mergeCell ref="D102:D103"/>
    <mergeCell ref="E98:E99"/>
    <mergeCell ref="F98:F99"/>
    <mergeCell ref="G98:G99"/>
    <mergeCell ref="H98:H99"/>
    <mergeCell ref="K98:K99"/>
    <mergeCell ref="L98:L99"/>
    <mergeCell ref="M98:M99"/>
    <mergeCell ref="N98:N99"/>
    <mergeCell ref="Q98:Q99"/>
    <mergeCell ref="R98:R99"/>
    <mergeCell ref="S98:S99"/>
    <mergeCell ref="J93:J94"/>
    <mergeCell ref="P93:P94"/>
    <mergeCell ref="V93:V94"/>
    <mergeCell ref="AB93:AB94"/>
    <mergeCell ref="AH93:AH94"/>
    <mergeCell ref="D96:D97"/>
    <mergeCell ref="J96:J97"/>
    <mergeCell ref="P96:P97"/>
    <mergeCell ref="V96:V97"/>
    <mergeCell ref="AB96:AB97"/>
    <mergeCell ref="J89:J90"/>
    <mergeCell ref="P89:P90"/>
    <mergeCell ref="V89:V90"/>
    <mergeCell ref="AB89:AB90"/>
    <mergeCell ref="AH89:AH90"/>
    <mergeCell ref="J91:J92"/>
    <mergeCell ref="P91:P92"/>
    <mergeCell ref="V91:V92"/>
    <mergeCell ref="AB91:AB92"/>
    <mergeCell ref="AH91:AH92"/>
    <mergeCell ref="E89:E90"/>
    <mergeCell ref="F89:F90"/>
    <mergeCell ref="G89:G90"/>
    <mergeCell ref="H89:H90"/>
    <mergeCell ref="K89:K90"/>
    <mergeCell ref="L89:L90"/>
    <mergeCell ref="M89:M90"/>
    <mergeCell ref="N89:N90"/>
    <mergeCell ref="Q89:Q90"/>
    <mergeCell ref="R89:R90"/>
    <mergeCell ref="S89:S90"/>
    <mergeCell ref="T89:T90"/>
    <mergeCell ref="AH85:AH86"/>
    <mergeCell ref="J87:J88"/>
    <mergeCell ref="P87:P88"/>
    <mergeCell ref="V87:V88"/>
    <mergeCell ref="AB87:AB88"/>
    <mergeCell ref="AH87:AH88"/>
    <mergeCell ref="J78:J79"/>
    <mergeCell ref="P78:P79"/>
    <mergeCell ref="V78:V79"/>
    <mergeCell ref="AB78:AB79"/>
    <mergeCell ref="AH78:AH79"/>
    <mergeCell ref="J83:J84"/>
    <mergeCell ref="P83:P84"/>
    <mergeCell ref="V83:V84"/>
    <mergeCell ref="AB83:AB84"/>
    <mergeCell ref="AH83:AH84"/>
    <mergeCell ref="AD83:AD84"/>
    <mergeCell ref="AE83:AE84"/>
    <mergeCell ref="AF83:AF84"/>
    <mergeCell ref="AD85:AD86"/>
    <mergeCell ref="AE85:AE86"/>
    <mergeCell ref="AF85:AF86"/>
    <mergeCell ref="AD87:AD88"/>
    <mergeCell ref="AE87:AE88"/>
    <mergeCell ref="AF87:AF88"/>
    <mergeCell ref="D74:D75"/>
    <mergeCell ref="J74:J75"/>
    <mergeCell ref="P74:P75"/>
    <mergeCell ref="V74:V75"/>
    <mergeCell ref="AB74:AB75"/>
    <mergeCell ref="AH74:AH75"/>
    <mergeCell ref="R74:R75"/>
    <mergeCell ref="S74:S75"/>
    <mergeCell ref="T74:T75"/>
    <mergeCell ref="W74:W75"/>
    <mergeCell ref="D71:D72"/>
    <mergeCell ref="J71:J72"/>
    <mergeCell ref="P71:P72"/>
    <mergeCell ref="V71:V72"/>
    <mergeCell ref="AB71:AB72"/>
    <mergeCell ref="AH71:AH72"/>
    <mergeCell ref="R71:R72"/>
    <mergeCell ref="S71:S72"/>
    <mergeCell ref="T71:T72"/>
    <mergeCell ref="W71:W72"/>
    <mergeCell ref="E74:E75"/>
    <mergeCell ref="F74:F75"/>
    <mergeCell ref="G74:G75"/>
    <mergeCell ref="H74:H75"/>
    <mergeCell ref="K74:K75"/>
    <mergeCell ref="L74:L75"/>
    <mergeCell ref="M74:M75"/>
    <mergeCell ref="N74:N75"/>
    <mergeCell ref="Q74:Q75"/>
    <mergeCell ref="X74:X75"/>
    <mergeCell ref="Y74:Y75"/>
    <mergeCell ref="Z74:Z75"/>
    <mergeCell ref="D69:D70"/>
    <mergeCell ref="J69:J70"/>
    <mergeCell ref="P69:P70"/>
    <mergeCell ref="V69:V70"/>
    <mergeCell ref="AB69:AB70"/>
    <mergeCell ref="AH69:AH70"/>
    <mergeCell ref="R69:R70"/>
    <mergeCell ref="S69:S70"/>
    <mergeCell ref="T69:T70"/>
    <mergeCell ref="W69:W70"/>
    <mergeCell ref="D67:D68"/>
    <mergeCell ref="J67:J68"/>
    <mergeCell ref="P67:P68"/>
    <mergeCell ref="V67:V68"/>
    <mergeCell ref="AB67:AB68"/>
    <mergeCell ref="AH67:AH68"/>
    <mergeCell ref="R67:R68"/>
    <mergeCell ref="S67:S68"/>
    <mergeCell ref="T67:T68"/>
    <mergeCell ref="W67:W68"/>
    <mergeCell ref="E69:E70"/>
    <mergeCell ref="F69:F70"/>
    <mergeCell ref="G69:G70"/>
    <mergeCell ref="H69:H70"/>
    <mergeCell ref="K69:K70"/>
    <mergeCell ref="L69:L70"/>
    <mergeCell ref="M69:M70"/>
    <mergeCell ref="N69:N70"/>
    <mergeCell ref="Q69:Q70"/>
    <mergeCell ref="X69:X70"/>
    <mergeCell ref="Y69:Y70"/>
    <mergeCell ref="Z69:Z70"/>
    <mergeCell ref="D65:D66"/>
    <mergeCell ref="J65:J66"/>
    <mergeCell ref="P65:P66"/>
    <mergeCell ref="V65:V66"/>
    <mergeCell ref="AB65:AB66"/>
    <mergeCell ref="AH65:AH66"/>
    <mergeCell ref="R65:R66"/>
    <mergeCell ref="S65:S66"/>
    <mergeCell ref="T65:T66"/>
    <mergeCell ref="W65:W66"/>
    <mergeCell ref="AH61:AH62"/>
    <mergeCell ref="D63:D64"/>
    <mergeCell ref="J63:J64"/>
    <mergeCell ref="P63:P64"/>
    <mergeCell ref="V63:V64"/>
    <mergeCell ref="AB63:AB64"/>
    <mergeCell ref="AH63:AH64"/>
    <mergeCell ref="D61:D62"/>
    <mergeCell ref="I61:I62"/>
    <mergeCell ref="J61:J62"/>
    <mergeCell ref="E61:E62"/>
    <mergeCell ref="F61:F62"/>
    <mergeCell ref="G61:G62"/>
    <mergeCell ref="H61:H62"/>
    <mergeCell ref="K61:K62"/>
    <mergeCell ref="L61:L62"/>
    <mergeCell ref="M61:M62"/>
    <mergeCell ref="N61:N62"/>
    <mergeCell ref="Q61:Q62"/>
    <mergeCell ref="R61:R62"/>
    <mergeCell ref="S61:S62"/>
    <mergeCell ref="T61:T62"/>
    <mergeCell ref="AH56:AH57"/>
    <mergeCell ref="D59:D60"/>
    <mergeCell ref="I59:I60"/>
    <mergeCell ref="J59:J60"/>
    <mergeCell ref="P59:P60"/>
    <mergeCell ref="V59:V60"/>
    <mergeCell ref="AB59:AB60"/>
    <mergeCell ref="D56:D57"/>
    <mergeCell ref="I56:I57"/>
    <mergeCell ref="J56:J57"/>
    <mergeCell ref="P56:P57"/>
    <mergeCell ref="V56:V57"/>
    <mergeCell ref="AB56:AB57"/>
    <mergeCell ref="Q56:Q57"/>
    <mergeCell ref="R56:R57"/>
    <mergeCell ref="S56:S57"/>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E54:E55"/>
    <mergeCell ref="F54:F55"/>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Q48:Q49"/>
    <mergeCell ref="R48:R49"/>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E44:E45"/>
    <mergeCell ref="F44:F45"/>
    <mergeCell ref="G44:G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M40:M41"/>
    <mergeCell ref="N40:N41"/>
    <mergeCell ref="AH35:AH36"/>
    <mergeCell ref="D37:D38"/>
    <mergeCell ref="J37:J38"/>
    <mergeCell ref="O37:O38"/>
    <mergeCell ref="P37:P38"/>
    <mergeCell ref="V37:V38"/>
    <mergeCell ref="AB37:AB38"/>
    <mergeCell ref="AH37:AH38"/>
    <mergeCell ref="D35:D36"/>
    <mergeCell ref="Q40:Q41"/>
    <mergeCell ref="R40:R41"/>
    <mergeCell ref="S40:S41"/>
    <mergeCell ref="T40:T41"/>
    <mergeCell ref="W40:W41"/>
    <mergeCell ref="X40:X41"/>
    <mergeCell ref="Y40:Y41"/>
    <mergeCell ref="Z40:Z41"/>
    <mergeCell ref="O31:O32"/>
    <mergeCell ref="P31:P32"/>
    <mergeCell ref="AB35:AB36"/>
    <mergeCell ref="AH31:AH32"/>
    <mergeCell ref="D33:D34"/>
    <mergeCell ref="I33:I34"/>
    <mergeCell ref="J33:J34"/>
    <mergeCell ref="O33:O34"/>
    <mergeCell ref="P33:P34"/>
    <mergeCell ref="V33:V34"/>
    <mergeCell ref="AB33:AB34"/>
    <mergeCell ref="AH33:AH34"/>
    <mergeCell ref="D31:D32"/>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L27:L28"/>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N23:N24"/>
    <mergeCell ref="Q23:Q24"/>
    <mergeCell ref="R23:R24"/>
    <mergeCell ref="S23:S24"/>
    <mergeCell ref="E23:E24"/>
    <mergeCell ref="F23:F24"/>
    <mergeCell ref="G23:G24"/>
    <mergeCell ref="H23:H24"/>
    <mergeCell ref="K23:K24"/>
    <mergeCell ref="L23:L24"/>
    <mergeCell ref="M23:M24"/>
    <mergeCell ref="T23:T24"/>
    <mergeCell ref="U23:U24"/>
    <mergeCell ref="W23:W24"/>
    <mergeCell ref="X23:X24"/>
    <mergeCell ref="AH19:AH20"/>
    <mergeCell ref="D21:D22"/>
    <mergeCell ref="I21:I22"/>
    <mergeCell ref="J21:J22"/>
    <mergeCell ref="O21:O22"/>
    <mergeCell ref="P21:P22"/>
    <mergeCell ref="V21:V22"/>
    <mergeCell ref="AB21:AB22"/>
    <mergeCell ref="AH21:AH22"/>
    <mergeCell ref="D19:D20"/>
    <mergeCell ref="I19:I20"/>
    <mergeCell ref="J19:J20"/>
    <mergeCell ref="O19:O20"/>
    <mergeCell ref="P19:P20"/>
    <mergeCell ref="V19:V20"/>
    <mergeCell ref="L19:L20"/>
    <mergeCell ref="M19:M20"/>
    <mergeCell ref="N19:N20"/>
    <mergeCell ref="Q19:Q20"/>
    <mergeCell ref="E19:E20"/>
    <mergeCell ref="F19:F20"/>
    <mergeCell ref="G19:G20"/>
    <mergeCell ref="H19:H20"/>
    <mergeCell ref="K19:K20"/>
    <mergeCell ref="R19:R20"/>
    <mergeCell ref="S19:S20"/>
    <mergeCell ref="T19:T20"/>
    <mergeCell ref="U19:U20"/>
    <mergeCell ref="W19:W20"/>
    <mergeCell ref="X19:X20"/>
    <mergeCell ref="Y19:Y20"/>
    <mergeCell ref="Z19:Z20"/>
    <mergeCell ref="AH15:AH16"/>
    <mergeCell ref="D17:D18"/>
    <mergeCell ref="I17:I18"/>
    <mergeCell ref="J17:J18"/>
    <mergeCell ref="O17:O18"/>
    <mergeCell ref="P17:P18"/>
    <mergeCell ref="V17:V18"/>
    <mergeCell ref="AB17:AB18"/>
    <mergeCell ref="AH17:AH18"/>
    <mergeCell ref="D15:D16"/>
    <mergeCell ref="I15:I16"/>
    <mergeCell ref="J15:J16"/>
    <mergeCell ref="O15:O16"/>
    <mergeCell ref="P15:P16"/>
    <mergeCell ref="V15:V16"/>
    <mergeCell ref="N15:N16"/>
    <mergeCell ref="Q15:Q16"/>
    <mergeCell ref="R15:R16"/>
    <mergeCell ref="S15:S16"/>
    <mergeCell ref="E15:E16"/>
    <mergeCell ref="F15:F16"/>
    <mergeCell ref="G15:G16"/>
    <mergeCell ref="H15:H16"/>
    <mergeCell ref="K15:K16"/>
    <mergeCell ref="L15:L16"/>
    <mergeCell ref="M15:M16"/>
    <mergeCell ref="T15:T16"/>
    <mergeCell ref="U15:U16"/>
    <mergeCell ref="W15:W16"/>
    <mergeCell ref="X15:X16"/>
    <mergeCell ref="Y15:Y16"/>
    <mergeCell ref="Z15:Z16"/>
    <mergeCell ref="AC10:AG10"/>
    <mergeCell ref="E11:J11"/>
    <mergeCell ref="K11:O11"/>
    <mergeCell ref="Q11:U11"/>
    <mergeCell ref="W11:AA11"/>
    <mergeCell ref="AC11:AG11"/>
    <mergeCell ref="B131:B136"/>
    <mergeCell ref="C171:C172"/>
    <mergeCell ref="C167:C168"/>
    <mergeCell ref="N3:N5"/>
    <mergeCell ref="O3:O5"/>
    <mergeCell ref="Y5:Y6"/>
    <mergeCell ref="E10:I10"/>
    <mergeCell ref="K10:P10"/>
    <mergeCell ref="Q10:V10"/>
    <mergeCell ref="W10:AA10"/>
    <mergeCell ref="B108:C108"/>
    <mergeCell ref="C96:C97"/>
    <mergeCell ref="B102:B107"/>
    <mergeCell ref="B89:B94"/>
    <mergeCell ref="C89:C90"/>
    <mergeCell ref="C27:C28"/>
    <mergeCell ref="C29:C30"/>
    <mergeCell ref="C31:C32"/>
    <mergeCell ref="C40:C41"/>
    <mergeCell ref="C48:C49"/>
    <mergeCell ref="C139:C140"/>
    <mergeCell ref="C165:C166"/>
    <mergeCell ref="C163:C164"/>
    <mergeCell ref="C169:C170"/>
    <mergeCell ref="A4:C4"/>
    <mergeCell ref="A7:C7"/>
    <mergeCell ref="B183:B188"/>
    <mergeCell ref="B177:B182"/>
    <mergeCell ref="C183:C184"/>
    <mergeCell ref="C177:C178"/>
    <mergeCell ref="B152:C152"/>
    <mergeCell ref="A74:A79"/>
    <mergeCell ref="B81:C81"/>
    <mergeCell ref="B74:C75"/>
    <mergeCell ref="A59:A72"/>
    <mergeCell ref="B71:C72"/>
    <mergeCell ref="B59:C60"/>
    <mergeCell ref="B80:AH80"/>
    <mergeCell ref="AH59:AH60"/>
    <mergeCell ref="P61:P62"/>
    <mergeCell ref="V61:V62"/>
    <mergeCell ref="B118:B123"/>
    <mergeCell ref="C116:C117"/>
    <mergeCell ref="C120:C121"/>
    <mergeCell ref="C118:C119"/>
    <mergeCell ref="C122:C123"/>
    <mergeCell ref="C161:C162"/>
    <mergeCell ref="C131:C132"/>
    <mergeCell ref="B137:B142"/>
    <mergeCell ref="B143:B145"/>
    <mergeCell ref="B125:B130"/>
    <mergeCell ref="C175:C176"/>
    <mergeCell ref="C148:C149"/>
    <mergeCell ref="C100:C101"/>
    <mergeCell ref="B95:C95"/>
    <mergeCell ref="C91:C92"/>
    <mergeCell ref="B96:B101"/>
    <mergeCell ref="C127:C128"/>
    <mergeCell ref="B213:C214"/>
    <mergeCell ref="B217:C218"/>
    <mergeCell ref="A213:A218"/>
    <mergeCell ref="B192:C193"/>
    <mergeCell ref="A15:A38"/>
    <mergeCell ref="B33:B38"/>
    <mergeCell ref="C33:C34"/>
    <mergeCell ref="C35:C36"/>
    <mergeCell ref="C37:C38"/>
    <mergeCell ref="B27:B32"/>
    <mergeCell ref="C19:C20"/>
    <mergeCell ref="C21:C22"/>
    <mergeCell ref="C23:C24"/>
    <mergeCell ref="C25:C26"/>
    <mergeCell ref="B46:B51"/>
    <mergeCell ref="B67:C68"/>
    <mergeCell ref="C93:C94"/>
    <mergeCell ref="B61:C62"/>
    <mergeCell ref="B40:B45"/>
    <mergeCell ref="C46:C47"/>
    <mergeCell ref="B78:C79"/>
    <mergeCell ref="C42:C43"/>
    <mergeCell ref="B73:AH73"/>
    <mergeCell ref="D78:D79"/>
    <mergeCell ref="D83:D84"/>
    <mergeCell ref="D85:D86"/>
    <mergeCell ref="D87:D88"/>
    <mergeCell ref="D89:D90"/>
    <mergeCell ref="D91:D92"/>
    <mergeCell ref="D93:D94"/>
    <mergeCell ref="E40:E41"/>
    <mergeCell ref="F40:F41"/>
    <mergeCell ref="B198:C199"/>
    <mergeCell ref="C187:C188"/>
    <mergeCell ref="B194:AH194"/>
    <mergeCell ref="A190:A193"/>
    <mergeCell ref="B159:B164"/>
    <mergeCell ref="B153:B158"/>
    <mergeCell ref="A183:A188"/>
    <mergeCell ref="A177:A182"/>
    <mergeCell ref="A171:A176"/>
    <mergeCell ref="B165:B170"/>
    <mergeCell ref="B171:B176"/>
    <mergeCell ref="A153:A170"/>
    <mergeCell ref="B146:B151"/>
    <mergeCell ref="C150:C151"/>
    <mergeCell ref="C153:C154"/>
    <mergeCell ref="B222:B223"/>
    <mergeCell ref="B234:C235"/>
    <mergeCell ref="C179:C180"/>
    <mergeCell ref="B200:C201"/>
    <mergeCell ref="B228:C229"/>
    <mergeCell ref="B210:C211"/>
    <mergeCell ref="B232:C233"/>
    <mergeCell ref="B202:B207"/>
    <mergeCell ref="B215:C216"/>
    <mergeCell ref="B230:C231"/>
    <mergeCell ref="A196:A211"/>
    <mergeCell ref="B196:C197"/>
    <mergeCell ref="B208:C209"/>
    <mergeCell ref="A226:A235"/>
    <mergeCell ref="C222:C223"/>
    <mergeCell ref="B226:C227"/>
    <mergeCell ref="A222:A223"/>
    <mergeCell ref="C52:C53"/>
    <mergeCell ref="A82:A107"/>
    <mergeCell ref="A40:A57"/>
    <mergeCell ref="C17:C18"/>
    <mergeCell ref="C56:C57"/>
    <mergeCell ref="B83:B88"/>
    <mergeCell ref="B77:C77"/>
    <mergeCell ref="C87:C88"/>
    <mergeCell ref="B76:C76"/>
    <mergeCell ref="B65:C66"/>
    <mergeCell ref="C44:C45"/>
    <mergeCell ref="B69:C70"/>
    <mergeCell ref="C102:C103"/>
    <mergeCell ref="C104:C105"/>
    <mergeCell ref="B21:B26"/>
    <mergeCell ref="A237:A254"/>
    <mergeCell ref="B237:B242"/>
    <mergeCell ref="C241:C242"/>
    <mergeCell ref="C243:C244"/>
    <mergeCell ref="C245:C246"/>
    <mergeCell ref="C253:C254"/>
    <mergeCell ref="C239:C240"/>
    <mergeCell ref="B243:B248"/>
    <mergeCell ref="C247:C248"/>
    <mergeCell ref="C251:C252"/>
    <mergeCell ref="C141:C142"/>
    <mergeCell ref="C157:C158"/>
    <mergeCell ref="C159:C160"/>
    <mergeCell ref="C155:C156"/>
    <mergeCell ref="C202:C203"/>
    <mergeCell ref="C185:C186"/>
    <mergeCell ref="B190:C191"/>
    <mergeCell ref="B10:B12"/>
    <mergeCell ref="C10:C12"/>
    <mergeCell ref="A5:B5"/>
    <mergeCell ref="A6:B6"/>
    <mergeCell ref="C106:C107"/>
    <mergeCell ref="C83:C84"/>
    <mergeCell ref="C50:C51"/>
    <mergeCell ref="C54:C55"/>
    <mergeCell ref="C133:C134"/>
    <mergeCell ref="B110:C111"/>
    <mergeCell ref="B112:B117"/>
    <mergeCell ref="C85:C86"/>
    <mergeCell ref="C129:C130"/>
    <mergeCell ref="C98:C99"/>
    <mergeCell ref="C249:C250"/>
    <mergeCell ref="B249:B254"/>
    <mergeCell ref="C125:C126"/>
    <mergeCell ref="C173:C174"/>
    <mergeCell ref="C206:C207"/>
    <mergeCell ref="C181:C182"/>
    <mergeCell ref="C204:C205"/>
    <mergeCell ref="C146:C147"/>
    <mergeCell ref="C135:C136"/>
    <mergeCell ref="C137:C138"/>
    <mergeCell ref="A125:A151"/>
    <mergeCell ref="A109:A123"/>
    <mergeCell ref="C112:C113"/>
    <mergeCell ref="C114:C115"/>
    <mergeCell ref="B15:B20"/>
    <mergeCell ref="C15:C16"/>
    <mergeCell ref="B63:C64"/>
    <mergeCell ref="B52:B57"/>
    <mergeCell ref="D104:D105"/>
    <mergeCell ref="D106:D107"/>
    <mergeCell ref="D110:D111"/>
    <mergeCell ref="D112:D113"/>
    <mergeCell ref="D100:D101"/>
    <mergeCell ref="D114:D115"/>
    <mergeCell ref="D116:D117"/>
    <mergeCell ref="D118:D119"/>
    <mergeCell ref="D120:D121"/>
    <mergeCell ref="D122:D123"/>
    <mergeCell ref="D125:D126"/>
    <mergeCell ref="B124:AH124"/>
    <mergeCell ref="E125:E126"/>
    <mergeCell ref="F125:F126"/>
    <mergeCell ref="G125:G126"/>
    <mergeCell ref="D127:D128"/>
    <mergeCell ref="D129:D130"/>
    <mergeCell ref="J125:J126"/>
    <mergeCell ref="K125:K126"/>
    <mergeCell ref="L125:L126"/>
    <mergeCell ref="M125:M126"/>
    <mergeCell ref="N125:N126"/>
    <mergeCell ref="O125:O126"/>
    <mergeCell ref="P125:P126"/>
    <mergeCell ref="Q125:Q126"/>
    <mergeCell ref="R125:R126"/>
    <mergeCell ref="S125:S126"/>
    <mergeCell ref="T125:T126"/>
    <mergeCell ref="U125:U126"/>
    <mergeCell ref="V125:V126"/>
    <mergeCell ref="W125:W126"/>
    <mergeCell ref="X125:X126"/>
    <mergeCell ref="D131:D132"/>
    <mergeCell ref="D133:D134"/>
    <mergeCell ref="D135:D136"/>
    <mergeCell ref="D137:D138"/>
    <mergeCell ref="D139:D140"/>
    <mergeCell ref="D141:D142"/>
    <mergeCell ref="D146:D147"/>
    <mergeCell ref="D148:D149"/>
    <mergeCell ref="D150:D151"/>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190:D191"/>
    <mergeCell ref="B189:AH189"/>
    <mergeCell ref="Q179:Q180"/>
    <mergeCell ref="R179:R180"/>
    <mergeCell ref="S179:S180"/>
    <mergeCell ref="D192:D193"/>
    <mergeCell ref="D237:D238"/>
    <mergeCell ref="E169:E170"/>
    <mergeCell ref="F169:F170"/>
    <mergeCell ref="G169:G170"/>
    <mergeCell ref="H169:H170"/>
    <mergeCell ref="K169:K170"/>
    <mergeCell ref="L169:L170"/>
    <mergeCell ref="J169:J170"/>
    <mergeCell ref="M169:M170"/>
    <mergeCell ref="N169:N170"/>
    <mergeCell ref="Q169:Q170"/>
    <mergeCell ref="R169:R170"/>
    <mergeCell ref="S169:S170"/>
    <mergeCell ref="T169:T170"/>
    <mergeCell ref="P169:P170"/>
    <mergeCell ref="W169:W170"/>
    <mergeCell ref="D239:D240"/>
    <mergeCell ref="D241:D242"/>
    <mergeCell ref="D243:D244"/>
    <mergeCell ref="D245:D246"/>
    <mergeCell ref="D196:D197"/>
    <mergeCell ref="D206:D207"/>
    <mergeCell ref="D210:D211"/>
    <mergeCell ref="D213:D214"/>
    <mergeCell ref="D198:D199"/>
    <mergeCell ref="D208:D209"/>
    <mergeCell ref="D247:D248"/>
    <mergeCell ref="D249:D250"/>
    <mergeCell ref="D251:D252"/>
    <mergeCell ref="D253:D254"/>
    <mergeCell ref="D215:D216"/>
    <mergeCell ref="H125:H126"/>
    <mergeCell ref="I125:I126"/>
    <mergeCell ref="E129:E130"/>
    <mergeCell ref="F129:F130"/>
    <mergeCell ref="G129:G130"/>
    <mergeCell ref="H129:H130"/>
    <mergeCell ref="I129:I130"/>
    <mergeCell ref="E133:E134"/>
    <mergeCell ref="F133:F134"/>
    <mergeCell ref="G133:G134"/>
    <mergeCell ref="H133:H134"/>
    <mergeCell ref="I133:I134"/>
    <mergeCell ref="E137:E138"/>
    <mergeCell ref="F137:F138"/>
    <mergeCell ref="G137:G138"/>
    <mergeCell ref="H137:H138"/>
    <mergeCell ref="I137:I138"/>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N129:N130"/>
    <mergeCell ref="O129:O130"/>
    <mergeCell ref="Q129:Q130"/>
    <mergeCell ref="R129:R130"/>
    <mergeCell ref="P129:P130"/>
    <mergeCell ref="S129:S130"/>
    <mergeCell ref="T129:T130"/>
    <mergeCell ref="U129:U130"/>
    <mergeCell ref="W129:W130"/>
    <mergeCell ref="X129:X130"/>
    <mergeCell ref="Y129:Y130"/>
    <mergeCell ref="V129:V130"/>
    <mergeCell ref="Z129:Z130"/>
    <mergeCell ref="AE125:AE126"/>
    <mergeCell ref="AF125:AF126"/>
    <mergeCell ref="AG125:AG126"/>
    <mergeCell ref="AH125:AH126"/>
    <mergeCell ref="Y127:Y128"/>
    <mergeCell ref="Z127:Z128"/>
    <mergeCell ref="AA127:AA128"/>
    <mergeCell ref="AC127:AC128"/>
    <mergeCell ref="AD127:AD128"/>
    <mergeCell ref="AE127:AE128"/>
    <mergeCell ref="AF127:AF128"/>
    <mergeCell ref="AG127:AG128"/>
    <mergeCell ref="AF129:AF130"/>
    <mergeCell ref="AB129:AB130"/>
    <mergeCell ref="AG129:AG130"/>
    <mergeCell ref="E131:E132"/>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Y131:Y132"/>
    <mergeCell ref="Z131:Z132"/>
    <mergeCell ref="AA131:AA132"/>
    <mergeCell ref="AC131:AC132"/>
    <mergeCell ref="AD131:AD132"/>
    <mergeCell ref="AE131:AE132"/>
    <mergeCell ref="AF131:AF132"/>
    <mergeCell ref="AG131:AG132"/>
    <mergeCell ref="K129:K130"/>
    <mergeCell ref="J129:J130"/>
    <mergeCell ref="L129:L130"/>
    <mergeCell ref="M129:M130"/>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A129:AA130"/>
    <mergeCell ref="AC129:AC130"/>
    <mergeCell ref="AD129:AD130"/>
    <mergeCell ref="AE129:AE130"/>
    <mergeCell ref="AE133:AE134"/>
    <mergeCell ref="AF133:AF134"/>
    <mergeCell ref="AG133:AG134"/>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AG135:AG136"/>
    <mergeCell ref="K133:K134"/>
    <mergeCell ref="L133:L134"/>
    <mergeCell ref="M133:M134"/>
    <mergeCell ref="N133:N134"/>
    <mergeCell ref="Y137:Y138"/>
    <mergeCell ref="Z137:Z138"/>
    <mergeCell ref="AA137:AA138"/>
    <mergeCell ref="AC137:AC138"/>
    <mergeCell ref="AD137:AD138"/>
    <mergeCell ref="AE137:AE138"/>
    <mergeCell ref="AF137:AF138"/>
    <mergeCell ref="AG137:AG138"/>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Y139:Y140"/>
    <mergeCell ref="Z139:Z140"/>
    <mergeCell ref="AA139:AA140"/>
    <mergeCell ref="AC139:AC140"/>
    <mergeCell ref="AD139:AD140"/>
    <mergeCell ref="AE139:AE140"/>
    <mergeCell ref="AF139:AF140"/>
    <mergeCell ref="AG139:AG140"/>
    <mergeCell ref="E141:E142"/>
    <mergeCell ref="F141:F142"/>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Y141:Y142"/>
    <mergeCell ref="Z141:Z142"/>
    <mergeCell ref="AA141:AA142"/>
    <mergeCell ref="AC141:AC142"/>
    <mergeCell ref="AD141:AD142"/>
    <mergeCell ref="AE141:AE142"/>
    <mergeCell ref="AF141:AF142"/>
    <mergeCell ref="AG141:AG142"/>
    <mergeCell ref="J141:J142"/>
    <mergeCell ref="P141:P142"/>
    <mergeCell ref="V141:V142"/>
    <mergeCell ref="AB141:AB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Y148:Y149"/>
    <mergeCell ref="Z148:Z149"/>
    <mergeCell ref="AA148:AA149"/>
    <mergeCell ref="AC148:AC149"/>
    <mergeCell ref="AD148:AD149"/>
    <mergeCell ref="AE148:AE149"/>
    <mergeCell ref="AF148:AF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44:AD45"/>
    <mergeCell ref="AE44:AE45"/>
    <mergeCell ref="AF44:AF45"/>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S42:S43"/>
    <mergeCell ref="T42:T43"/>
    <mergeCell ref="W42:W43"/>
    <mergeCell ref="X42:X43"/>
    <mergeCell ref="Y42:Y43"/>
    <mergeCell ref="Z42:Z43"/>
    <mergeCell ref="AC42:AC43"/>
    <mergeCell ref="AD42:AD43"/>
    <mergeCell ref="AB42:AB43"/>
    <mergeCell ref="AE42:AE43"/>
    <mergeCell ref="AF42:AF43"/>
    <mergeCell ref="G40:G41"/>
    <mergeCell ref="H40:H41"/>
    <mergeCell ref="K40:K41"/>
    <mergeCell ref="L40:L41"/>
    <mergeCell ref="G46:G47"/>
    <mergeCell ref="H46:H47"/>
    <mergeCell ref="K46:K47"/>
    <mergeCell ref="L46:L47"/>
    <mergeCell ref="M46:M47"/>
    <mergeCell ref="N46:N47"/>
    <mergeCell ref="Q46:Q47"/>
    <mergeCell ref="R46:R47"/>
    <mergeCell ref="S46:S47"/>
    <mergeCell ref="T46:T47"/>
    <mergeCell ref="W46:W47"/>
    <mergeCell ref="X46:X47"/>
    <mergeCell ref="Y46:Y47"/>
    <mergeCell ref="Z46:Z47"/>
    <mergeCell ref="AC46:AC47"/>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Q50:Q51"/>
    <mergeCell ref="R50:R51"/>
    <mergeCell ref="S50:S51"/>
    <mergeCell ref="T50:T51"/>
    <mergeCell ref="W50:W51"/>
    <mergeCell ref="X50:X51"/>
    <mergeCell ref="Y50:Y51"/>
    <mergeCell ref="Z50:Z51"/>
    <mergeCell ref="AC50:AC51"/>
    <mergeCell ref="AD46:AD47"/>
    <mergeCell ref="AE46:AE47"/>
    <mergeCell ref="AF46:AF47"/>
    <mergeCell ref="E48:E49"/>
    <mergeCell ref="F48:F49"/>
    <mergeCell ref="G48:G49"/>
    <mergeCell ref="H48:H49"/>
    <mergeCell ref="K48:K49"/>
    <mergeCell ref="L48:L49"/>
    <mergeCell ref="M48:M49"/>
    <mergeCell ref="N48:N49"/>
    <mergeCell ref="S48:S49"/>
    <mergeCell ref="T48:T49"/>
    <mergeCell ref="W48:W49"/>
    <mergeCell ref="X48:X49"/>
    <mergeCell ref="Y48:Y49"/>
    <mergeCell ref="Z48:Z49"/>
    <mergeCell ref="AC48:AC49"/>
    <mergeCell ref="AD48:AD49"/>
    <mergeCell ref="AE48:AE49"/>
    <mergeCell ref="AF48:AF49"/>
    <mergeCell ref="E46:E47"/>
    <mergeCell ref="F46:F47"/>
    <mergeCell ref="AD50:AD51"/>
    <mergeCell ref="AB50:AB51"/>
    <mergeCell ref="AE50:AE51"/>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E50:E51"/>
    <mergeCell ref="F50:F51"/>
    <mergeCell ref="G50:G51"/>
    <mergeCell ref="H50:H51"/>
    <mergeCell ref="K50:K51"/>
    <mergeCell ref="L50:L51"/>
    <mergeCell ref="M50:M51"/>
    <mergeCell ref="N50:N51"/>
    <mergeCell ref="T56:T57"/>
    <mergeCell ref="W56:W57"/>
    <mergeCell ref="X56:X57"/>
    <mergeCell ref="Y56:Y57"/>
    <mergeCell ref="Z56:Z57"/>
    <mergeCell ref="AC56:AC57"/>
    <mergeCell ref="AD56:AD57"/>
    <mergeCell ref="AE56:AE57"/>
    <mergeCell ref="AF56:AF57"/>
    <mergeCell ref="G54:G55"/>
    <mergeCell ref="H54:H55"/>
    <mergeCell ref="K54:K55"/>
    <mergeCell ref="L54:L55"/>
    <mergeCell ref="M54:M55"/>
    <mergeCell ref="N54:N55"/>
    <mergeCell ref="Q54:Q55"/>
    <mergeCell ref="R54:R55"/>
    <mergeCell ref="S54:S55"/>
    <mergeCell ref="T54:T55"/>
    <mergeCell ref="W54:W55"/>
    <mergeCell ref="X54:X55"/>
    <mergeCell ref="Y54:Y55"/>
    <mergeCell ref="Z54:Z55"/>
    <mergeCell ref="AC54:AC55"/>
    <mergeCell ref="AD54:AD55"/>
    <mergeCell ref="AE54:AE55"/>
    <mergeCell ref="AA15:AA16"/>
    <mergeCell ref="AC15:AC16"/>
    <mergeCell ref="AD15:AD16"/>
    <mergeCell ref="AE15:AE16"/>
    <mergeCell ref="AF15:AF16"/>
    <mergeCell ref="AG15:AG16"/>
    <mergeCell ref="AB15:AB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AA19:AA20"/>
    <mergeCell ref="AC19:AC20"/>
    <mergeCell ref="AD19:AD20"/>
    <mergeCell ref="AE19:AE20"/>
    <mergeCell ref="AB19:AB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Y23:Y24"/>
    <mergeCell ref="Z23:Z24"/>
    <mergeCell ref="AA23:AA24"/>
    <mergeCell ref="AC23:AC24"/>
    <mergeCell ref="AD23:AD24"/>
    <mergeCell ref="AE23:AE24"/>
    <mergeCell ref="AF23:AF24"/>
    <mergeCell ref="AG23:AG24"/>
    <mergeCell ref="AB23:AB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G27:AG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E27:E28"/>
    <mergeCell ref="F27:F28"/>
    <mergeCell ref="G27:G28"/>
    <mergeCell ref="H27:H28"/>
    <mergeCell ref="K27:K28"/>
    <mergeCell ref="Q27:Q28"/>
    <mergeCell ref="R27:R28"/>
    <mergeCell ref="S27:S28"/>
    <mergeCell ref="G31:G32"/>
    <mergeCell ref="H31:H32"/>
    <mergeCell ref="K31:K32"/>
    <mergeCell ref="L31:L32"/>
    <mergeCell ref="M31:M32"/>
    <mergeCell ref="N31:N32"/>
    <mergeCell ref="Q31:Q32"/>
    <mergeCell ref="R31:R32"/>
    <mergeCell ref="S31:S32"/>
    <mergeCell ref="T31:T32"/>
    <mergeCell ref="U31:U32"/>
    <mergeCell ref="W31:W32"/>
    <mergeCell ref="X31:X32"/>
    <mergeCell ref="Y31:Y32"/>
    <mergeCell ref="Z31:Z32"/>
    <mergeCell ref="AE27:AE28"/>
    <mergeCell ref="AF27:AF28"/>
    <mergeCell ref="T27:T28"/>
    <mergeCell ref="U27:U28"/>
    <mergeCell ref="W27:W28"/>
    <mergeCell ref="X27:X28"/>
    <mergeCell ref="Y27:Y28"/>
    <mergeCell ref="Z27:Z28"/>
    <mergeCell ref="AA27:AA28"/>
    <mergeCell ref="AC27:AC28"/>
    <mergeCell ref="AD27:AD28"/>
    <mergeCell ref="AB27:AB28"/>
    <mergeCell ref="M27:M28"/>
    <mergeCell ref="N27:N28"/>
    <mergeCell ref="AB31:AB32"/>
    <mergeCell ref="I31:I32"/>
    <mergeCell ref="J31:J32"/>
    <mergeCell ref="AA31:AA32"/>
    <mergeCell ref="V31:V32"/>
    <mergeCell ref="AC31:AC32"/>
    <mergeCell ref="AD31:AD32"/>
    <mergeCell ref="AE31:AE32"/>
    <mergeCell ref="AF31:AF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E31:E32"/>
    <mergeCell ref="F31:F32"/>
    <mergeCell ref="E35:E36"/>
    <mergeCell ref="F35:F36"/>
    <mergeCell ref="G35:G36"/>
    <mergeCell ref="H35:H36"/>
    <mergeCell ref="K35:K36"/>
    <mergeCell ref="L35:L36"/>
    <mergeCell ref="I35:I36"/>
    <mergeCell ref="J35:J36"/>
    <mergeCell ref="M35:M36"/>
    <mergeCell ref="N35:N36"/>
    <mergeCell ref="Q35:Q36"/>
    <mergeCell ref="R35:R36"/>
    <mergeCell ref="S35:S36"/>
    <mergeCell ref="T35:T36"/>
    <mergeCell ref="O35:O36"/>
    <mergeCell ref="P35:P36"/>
    <mergeCell ref="U35:U36"/>
    <mergeCell ref="W35:W36"/>
    <mergeCell ref="X35:X36"/>
    <mergeCell ref="Y35:Y36"/>
    <mergeCell ref="Z35:Z36"/>
    <mergeCell ref="AA35:AA36"/>
    <mergeCell ref="V35:V36"/>
    <mergeCell ref="AC35:AC36"/>
    <mergeCell ref="AD35:AD36"/>
    <mergeCell ref="AE35:AE36"/>
    <mergeCell ref="AF35:AF36"/>
    <mergeCell ref="AG35:AG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Z37:Z38"/>
    <mergeCell ref="AA37:AA38"/>
    <mergeCell ref="AC37:AC38"/>
    <mergeCell ref="AD37:AD38"/>
    <mergeCell ref="AE37:AE38"/>
    <mergeCell ref="AF37:AF38"/>
    <mergeCell ref="AG37:AG38"/>
    <mergeCell ref="E59:E60"/>
    <mergeCell ref="F59:F60"/>
    <mergeCell ref="G59:G60"/>
    <mergeCell ref="H59:H60"/>
    <mergeCell ref="K59:K60"/>
    <mergeCell ref="L59:L60"/>
    <mergeCell ref="M59:M60"/>
    <mergeCell ref="N59:N60"/>
    <mergeCell ref="Q59:Q60"/>
    <mergeCell ref="R59:R60"/>
    <mergeCell ref="S59:S60"/>
    <mergeCell ref="T59:T60"/>
    <mergeCell ref="W59:W60"/>
    <mergeCell ref="X59:X60"/>
    <mergeCell ref="Y59:Y60"/>
    <mergeCell ref="Z59:Z60"/>
    <mergeCell ref="AC59:AC60"/>
    <mergeCell ref="AD59:AD60"/>
    <mergeCell ref="AE59:AE60"/>
    <mergeCell ref="AF59:AF60"/>
    <mergeCell ref="AF54:AF55"/>
    <mergeCell ref="E56:E57"/>
    <mergeCell ref="F56:F57"/>
    <mergeCell ref="G56:G57"/>
    <mergeCell ref="H56:H57"/>
    <mergeCell ref="K56:K57"/>
    <mergeCell ref="L56:L57"/>
    <mergeCell ref="M56:M57"/>
    <mergeCell ref="N56:N57"/>
    <mergeCell ref="W61:W62"/>
    <mergeCell ref="X61:X62"/>
    <mergeCell ref="Y61:Y62"/>
    <mergeCell ref="Z61:Z62"/>
    <mergeCell ref="AC61:AC62"/>
    <mergeCell ref="AB61:AB62"/>
    <mergeCell ref="AD61:AD62"/>
    <mergeCell ref="AE61:AE62"/>
    <mergeCell ref="AF61:AF62"/>
    <mergeCell ref="E63:E64"/>
    <mergeCell ref="F63:F64"/>
    <mergeCell ref="G63:G64"/>
    <mergeCell ref="H63:H64"/>
    <mergeCell ref="K63:K64"/>
    <mergeCell ref="L63:L64"/>
    <mergeCell ref="M63:M64"/>
    <mergeCell ref="N63:N64"/>
    <mergeCell ref="Q63:Q64"/>
    <mergeCell ref="R63:R64"/>
    <mergeCell ref="S63:S64"/>
    <mergeCell ref="T63:T64"/>
    <mergeCell ref="W63:W64"/>
    <mergeCell ref="X63:X64"/>
    <mergeCell ref="Y63:Y64"/>
    <mergeCell ref="Z63:Z64"/>
    <mergeCell ref="AC63:AC64"/>
    <mergeCell ref="AD63:AD64"/>
    <mergeCell ref="AE63:AE64"/>
    <mergeCell ref="AF63:AF64"/>
    <mergeCell ref="E65:E66"/>
    <mergeCell ref="F65:F66"/>
    <mergeCell ref="G65:G66"/>
    <mergeCell ref="H65:H66"/>
    <mergeCell ref="K65:K66"/>
    <mergeCell ref="L65:L66"/>
    <mergeCell ref="M65:M66"/>
    <mergeCell ref="N65:N66"/>
    <mergeCell ref="Q65:Q66"/>
    <mergeCell ref="X65:X66"/>
    <mergeCell ref="Y65:Y66"/>
    <mergeCell ref="Z65:Z66"/>
    <mergeCell ref="AC65:AC66"/>
    <mergeCell ref="AD65:AD66"/>
    <mergeCell ref="AE65:AE66"/>
    <mergeCell ref="AF65:AF66"/>
    <mergeCell ref="E67:E68"/>
    <mergeCell ref="F67:F68"/>
    <mergeCell ref="G67:G68"/>
    <mergeCell ref="H67:H68"/>
    <mergeCell ref="K67:K68"/>
    <mergeCell ref="L67:L68"/>
    <mergeCell ref="M67:M68"/>
    <mergeCell ref="N67:N68"/>
    <mergeCell ref="Q67:Q68"/>
    <mergeCell ref="X67:X68"/>
    <mergeCell ref="Y67:Y68"/>
    <mergeCell ref="Z67:Z68"/>
    <mergeCell ref="AC67:AC68"/>
    <mergeCell ref="AD67:AD68"/>
    <mergeCell ref="AE67:AE68"/>
    <mergeCell ref="AF67:AF68"/>
    <mergeCell ref="AC69:AC70"/>
    <mergeCell ref="AD69:AD70"/>
    <mergeCell ref="AE69:AE70"/>
    <mergeCell ref="AF69:AF70"/>
    <mergeCell ref="E71:E72"/>
    <mergeCell ref="F71:F72"/>
    <mergeCell ref="G71:G72"/>
    <mergeCell ref="H71:H72"/>
    <mergeCell ref="K71:K72"/>
    <mergeCell ref="L71:L72"/>
    <mergeCell ref="M71:M72"/>
    <mergeCell ref="N71:N72"/>
    <mergeCell ref="Q71:Q72"/>
    <mergeCell ref="X71:X72"/>
    <mergeCell ref="Y71:Y72"/>
    <mergeCell ref="Z71:Z72"/>
    <mergeCell ref="AC71:AC72"/>
    <mergeCell ref="AD71:AD72"/>
    <mergeCell ref="AE71:AE72"/>
    <mergeCell ref="AF71:AF72"/>
    <mergeCell ref="AC74:AC75"/>
    <mergeCell ref="AD74:AD75"/>
    <mergeCell ref="AE74:AE75"/>
    <mergeCell ref="AF74:AF75"/>
    <mergeCell ref="E78:E79"/>
    <mergeCell ref="F78:F79"/>
    <mergeCell ref="G78:G79"/>
    <mergeCell ref="H78:H79"/>
    <mergeCell ref="K78:K79"/>
    <mergeCell ref="L78:L79"/>
    <mergeCell ref="M78:M79"/>
    <mergeCell ref="N78:N79"/>
    <mergeCell ref="Q78:Q79"/>
    <mergeCell ref="R78:R79"/>
    <mergeCell ref="S78:S79"/>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J85:J86"/>
    <mergeCell ref="P85:P86"/>
    <mergeCell ref="V85:V86"/>
    <mergeCell ref="AB85:AB86"/>
    <mergeCell ref="AF91:AF92"/>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W93:W94"/>
    <mergeCell ref="X93:X94"/>
    <mergeCell ref="Y93:Y94"/>
    <mergeCell ref="Z93:Z94"/>
    <mergeCell ref="AC93:AC94"/>
    <mergeCell ref="W89:W90"/>
    <mergeCell ref="X89:X90"/>
    <mergeCell ref="Y89:Y90"/>
    <mergeCell ref="Z89:Z90"/>
    <mergeCell ref="AC89:AC90"/>
    <mergeCell ref="AD89:AD90"/>
    <mergeCell ref="AE89:AE90"/>
    <mergeCell ref="AF89:AF90"/>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AD91:AD92"/>
    <mergeCell ref="AE91:AE92"/>
    <mergeCell ref="AD93:AD94"/>
    <mergeCell ref="AE93:AE94"/>
    <mergeCell ref="AF93:AF94"/>
    <mergeCell ref="E96:E97"/>
    <mergeCell ref="F96:F97"/>
    <mergeCell ref="G96:G97"/>
    <mergeCell ref="H96:H97"/>
    <mergeCell ref="K96:K97"/>
    <mergeCell ref="Q96:Q97"/>
    <mergeCell ref="R96:R97"/>
    <mergeCell ref="S96:S97"/>
    <mergeCell ref="T96:T97"/>
    <mergeCell ref="W96:W97"/>
    <mergeCell ref="X96:X97"/>
    <mergeCell ref="Y96:Y97"/>
    <mergeCell ref="Z96:Z97"/>
    <mergeCell ref="AC96:AC97"/>
    <mergeCell ref="AD96:AD97"/>
    <mergeCell ref="AE96:AE97"/>
    <mergeCell ref="AF96:AF97"/>
    <mergeCell ref="E93:E94"/>
    <mergeCell ref="F93:F94"/>
    <mergeCell ref="G93:G94"/>
    <mergeCell ref="H93:H94"/>
    <mergeCell ref="K93:K94"/>
    <mergeCell ref="L93:L94"/>
    <mergeCell ref="M93:M94"/>
    <mergeCell ref="N93:N94"/>
    <mergeCell ref="Q93:Q94"/>
    <mergeCell ref="R93:R94"/>
    <mergeCell ref="S93:S94"/>
    <mergeCell ref="T93:T94"/>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J100:J101"/>
    <mergeCell ref="P100:P101"/>
    <mergeCell ref="V100:V101"/>
    <mergeCell ref="AB100:AB101"/>
    <mergeCell ref="R102:R103"/>
    <mergeCell ref="S102:S103"/>
    <mergeCell ref="T102:T103"/>
    <mergeCell ref="W102:W103"/>
    <mergeCell ref="X102:X103"/>
    <mergeCell ref="Y102:Y103"/>
    <mergeCell ref="Z102:Z103"/>
    <mergeCell ref="AC102:AC103"/>
    <mergeCell ref="T98:T99"/>
    <mergeCell ref="W98:W99"/>
    <mergeCell ref="X98:X99"/>
    <mergeCell ref="Y98:Y99"/>
    <mergeCell ref="Z98:Z99"/>
    <mergeCell ref="AC98:AC99"/>
    <mergeCell ref="AD98:AD99"/>
    <mergeCell ref="AE98:AE99"/>
    <mergeCell ref="AF98:AF99"/>
    <mergeCell ref="AD100:AD101"/>
    <mergeCell ref="AE100:AE101"/>
    <mergeCell ref="AF100:AF101"/>
    <mergeCell ref="AD102:AD103"/>
    <mergeCell ref="AE102:AE103"/>
    <mergeCell ref="AF102:AF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AD104:AD105"/>
    <mergeCell ref="AE104:AE105"/>
    <mergeCell ref="AF104:AF105"/>
    <mergeCell ref="E102:E103"/>
    <mergeCell ref="F102:F103"/>
    <mergeCell ref="G102:G103"/>
    <mergeCell ref="H102:H103"/>
    <mergeCell ref="K102:K103"/>
    <mergeCell ref="L102:L103"/>
    <mergeCell ref="M102:M103"/>
    <mergeCell ref="N102:N103"/>
    <mergeCell ref="Q102:Q103"/>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J110:J111"/>
    <mergeCell ref="P110:P111"/>
    <mergeCell ref="V110:V111"/>
    <mergeCell ref="AB110:AB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E118:E119"/>
    <mergeCell ref="F118:F119"/>
    <mergeCell ref="G118:G119"/>
    <mergeCell ref="H118:H119"/>
    <mergeCell ref="K118:K119"/>
    <mergeCell ref="L118:L119"/>
    <mergeCell ref="M118:M119"/>
    <mergeCell ref="N118:N119"/>
    <mergeCell ref="Q118:Q119"/>
    <mergeCell ref="R118:R119"/>
    <mergeCell ref="S118:S119"/>
    <mergeCell ref="T118:T119"/>
    <mergeCell ref="W118:W119"/>
    <mergeCell ref="X118:X119"/>
    <mergeCell ref="Y118:Y119"/>
    <mergeCell ref="Z118:Z119"/>
    <mergeCell ref="AC118:AC119"/>
    <mergeCell ref="J118:J119"/>
    <mergeCell ref="P118:P119"/>
    <mergeCell ref="V118:V119"/>
    <mergeCell ref="AB118:AB119"/>
    <mergeCell ref="N122:N123"/>
    <mergeCell ref="Q122:Q123"/>
    <mergeCell ref="R122:R123"/>
    <mergeCell ref="S122:S123"/>
    <mergeCell ref="T122:T123"/>
    <mergeCell ref="W122:W123"/>
    <mergeCell ref="X122:X123"/>
    <mergeCell ref="Y122:Y123"/>
    <mergeCell ref="Z122:Z123"/>
    <mergeCell ref="AC122:AC123"/>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2:AD123"/>
    <mergeCell ref="AE122:AE123"/>
    <mergeCell ref="AF122:AF123"/>
    <mergeCell ref="E153:E154"/>
    <mergeCell ref="F153:F154"/>
    <mergeCell ref="G153:G154"/>
    <mergeCell ref="H153:H154"/>
    <mergeCell ref="K153:K154"/>
    <mergeCell ref="L153:L154"/>
    <mergeCell ref="J153:J154"/>
    <mergeCell ref="M153:M154"/>
    <mergeCell ref="N153:N154"/>
    <mergeCell ref="Q153:Q154"/>
    <mergeCell ref="R153:R154"/>
    <mergeCell ref="S153:S154"/>
    <mergeCell ref="T153:T154"/>
    <mergeCell ref="P153:P154"/>
    <mergeCell ref="W153:W154"/>
    <mergeCell ref="X153:X154"/>
    <mergeCell ref="Y153:Y154"/>
    <mergeCell ref="Z153:Z154"/>
    <mergeCell ref="AC153:AC154"/>
    <mergeCell ref="AD153:AD154"/>
    <mergeCell ref="AE153:AE154"/>
    <mergeCell ref="AF153:AF154"/>
    <mergeCell ref="E122:E123"/>
    <mergeCell ref="F122:F123"/>
    <mergeCell ref="G122:G123"/>
    <mergeCell ref="H122:H123"/>
    <mergeCell ref="K122:K123"/>
    <mergeCell ref="L122:L123"/>
    <mergeCell ref="M122:M123"/>
    <mergeCell ref="E155:E156"/>
    <mergeCell ref="F155:F156"/>
    <mergeCell ref="G155:G156"/>
    <mergeCell ref="H155:H156"/>
    <mergeCell ref="K155:K156"/>
    <mergeCell ref="L155:L156"/>
    <mergeCell ref="M155:M156"/>
    <mergeCell ref="N155:N156"/>
    <mergeCell ref="Q155:Q156"/>
    <mergeCell ref="R155:R156"/>
    <mergeCell ref="S155:S156"/>
    <mergeCell ref="T155:T156"/>
    <mergeCell ref="W155:W156"/>
    <mergeCell ref="X155:X156"/>
    <mergeCell ref="Y155:Y156"/>
    <mergeCell ref="Z155:Z156"/>
    <mergeCell ref="AC155:AC156"/>
    <mergeCell ref="E157:E158"/>
    <mergeCell ref="F157:F158"/>
    <mergeCell ref="G157:G158"/>
    <mergeCell ref="H157:H158"/>
    <mergeCell ref="K157:K158"/>
    <mergeCell ref="L157:L158"/>
    <mergeCell ref="J157:J158"/>
    <mergeCell ref="M157:M158"/>
    <mergeCell ref="N157:N158"/>
    <mergeCell ref="Q157:Q158"/>
    <mergeCell ref="R157:R158"/>
    <mergeCell ref="S157:S158"/>
    <mergeCell ref="T157:T158"/>
    <mergeCell ref="P157:P158"/>
    <mergeCell ref="W157:W158"/>
    <mergeCell ref="X157:X158"/>
    <mergeCell ref="Y157:Y158"/>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AD163:AD164"/>
    <mergeCell ref="AE163:AE164"/>
    <mergeCell ref="AF163:AF164"/>
    <mergeCell ref="E161:E162"/>
    <mergeCell ref="F161:F162"/>
    <mergeCell ref="G161:G162"/>
    <mergeCell ref="H161:H162"/>
    <mergeCell ref="K161:K162"/>
    <mergeCell ref="L161:L162"/>
    <mergeCell ref="J161:J162"/>
    <mergeCell ref="M161:M162"/>
    <mergeCell ref="N161:N162"/>
    <mergeCell ref="Q161:Q162"/>
    <mergeCell ref="R161:R162"/>
    <mergeCell ref="S161:S162"/>
    <mergeCell ref="T161:T162"/>
    <mergeCell ref="P161:P162"/>
    <mergeCell ref="W161:W162"/>
    <mergeCell ref="X161:X162"/>
    <mergeCell ref="Y161:Y162"/>
    <mergeCell ref="M165:M166"/>
    <mergeCell ref="N165:N166"/>
    <mergeCell ref="Q165:Q166"/>
    <mergeCell ref="R165:R166"/>
    <mergeCell ref="S165:S166"/>
    <mergeCell ref="T165:T166"/>
    <mergeCell ref="P165:P166"/>
    <mergeCell ref="W165:W166"/>
    <mergeCell ref="X165:X166"/>
    <mergeCell ref="Y165:Y166"/>
    <mergeCell ref="Z161:Z162"/>
    <mergeCell ref="AC161:AC162"/>
    <mergeCell ref="AD161:AD162"/>
    <mergeCell ref="AE161:AE162"/>
    <mergeCell ref="AF161:AF162"/>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Y163:Y164"/>
    <mergeCell ref="Z163:Z164"/>
    <mergeCell ref="AC163:AC164"/>
    <mergeCell ref="Z165:Z166"/>
    <mergeCell ref="AC165:AC166"/>
    <mergeCell ref="AD165:AD166"/>
    <mergeCell ref="AE165:AE166"/>
    <mergeCell ref="AF165:AF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AD167:AD168"/>
    <mergeCell ref="AE167:AE168"/>
    <mergeCell ref="AF167:AF168"/>
    <mergeCell ref="E165:E166"/>
    <mergeCell ref="F165:F166"/>
    <mergeCell ref="G165:G166"/>
    <mergeCell ref="H165:H166"/>
    <mergeCell ref="K165:K166"/>
    <mergeCell ref="L165:L166"/>
    <mergeCell ref="J165:J166"/>
    <mergeCell ref="AE173:AE174"/>
    <mergeCell ref="AF173:AF174"/>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N175:N176"/>
    <mergeCell ref="Q175:Q176"/>
    <mergeCell ref="R175:R176"/>
    <mergeCell ref="S175:S176"/>
    <mergeCell ref="T175:T176"/>
    <mergeCell ref="W175:W176"/>
    <mergeCell ref="X175:X176"/>
    <mergeCell ref="Y175:Y176"/>
    <mergeCell ref="Z175:Z176"/>
    <mergeCell ref="AC175:AC176"/>
    <mergeCell ref="AE171:AE172"/>
    <mergeCell ref="AF171:AF172"/>
    <mergeCell ref="E173:E174"/>
    <mergeCell ref="F173:F174"/>
    <mergeCell ref="G173:G174"/>
    <mergeCell ref="H173:H174"/>
    <mergeCell ref="K173:K174"/>
    <mergeCell ref="L173:L174"/>
    <mergeCell ref="J173:J174"/>
    <mergeCell ref="M173:M174"/>
    <mergeCell ref="N173:N174"/>
    <mergeCell ref="Q173:Q174"/>
    <mergeCell ref="R173:R174"/>
    <mergeCell ref="S173:S174"/>
    <mergeCell ref="T173:T174"/>
    <mergeCell ref="P173:P174"/>
    <mergeCell ref="W173:W174"/>
    <mergeCell ref="X173:X174"/>
    <mergeCell ref="Y173:Y174"/>
    <mergeCell ref="Z173:Z174"/>
    <mergeCell ref="AC173:AC174"/>
    <mergeCell ref="AD173:AD174"/>
    <mergeCell ref="AD175:AD176"/>
    <mergeCell ref="AE175:AE176"/>
    <mergeCell ref="AF175:AF176"/>
    <mergeCell ref="E177:E178"/>
    <mergeCell ref="F177:F178"/>
    <mergeCell ref="G177:G178"/>
    <mergeCell ref="H177:H178"/>
    <mergeCell ref="K177:K178"/>
    <mergeCell ref="L177:L178"/>
    <mergeCell ref="J177:J178"/>
    <mergeCell ref="M177:M178"/>
    <mergeCell ref="N177:N178"/>
    <mergeCell ref="Q177:Q178"/>
    <mergeCell ref="R177:R178"/>
    <mergeCell ref="S177:S178"/>
    <mergeCell ref="T177:T178"/>
    <mergeCell ref="P177:P178"/>
    <mergeCell ref="W177:W178"/>
    <mergeCell ref="X177:X178"/>
    <mergeCell ref="Y177:Y178"/>
    <mergeCell ref="Z177:Z178"/>
    <mergeCell ref="AC177:AC178"/>
    <mergeCell ref="AD177:AD178"/>
    <mergeCell ref="AE177:AE178"/>
    <mergeCell ref="AF177:AF178"/>
    <mergeCell ref="E175:E176"/>
    <mergeCell ref="F175:F176"/>
    <mergeCell ref="G175:G176"/>
    <mergeCell ref="H175:H176"/>
    <mergeCell ref="K175:K176"/>
    <mergeCell ref="L175:L176"/>
    <mergeCell ref="M175:M176"/>
    <mergeCell ref="E179:E180"/>
    <mergeCell ref="F179:F180"/>
    <mergeCell ref="G179:G180"/>
    <mergeCell ref="H179:H180"/>
    <mergeCell ref="K179:K180"/>
    <mergeCell ref="L179:L180"/>
    <mergeCell ref="M179:M180"/>
    <mergeCell ref="N179:N180"/>
    <mergeCell ref="T179:T180"/>
    <mergeCell ref="W179:W180"/>
    <mergeCell ref="X179:X180"/>
    <mergeCell ref="Y179:Y180"/>
    <mergeCell ref="Z179:Z180"/>
    <mergeCell ref="AC179:AC180"/>
    <mergeCell ref="AD179:AD180"/>
    <mergeCell ref="AE179:AE180"/>
    <mergeCell ref="AF179:AF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M185:M186"/>
    <mergeCell ref="N185:N186"/>
    <mergeCell ref="Q185:Q186"/>
    <mergeCell ref="R185:R186"/>
    <mergeCell ref="S185:S186"/>
    <mergeCell ref="T185:T186"/>
    <mergeCell ref="W185:W186"/>
    <mergeCell ref="X185:X186"/>
    <mergeCell ref="Y185:Y186"/>
    <mergeCell ref="Z185:Z186"/>
    <mergeCell ref="AC185:AC186"/>
    <mergeCell ref="J185:J186"/>
    <mergeCell ref="P185:P186"/>
    <mergeCell ref="V185:V186"/>
    <mergeCell ref="AB185:AB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M190:M191"/>
    <mergeCell ref="N190:N191"/>
    <mergeCell ref="Q190:Q191"/>
    <mergeCell ref="R190:R191"/>
    <mergeCell ref="S190:S191"/>
    <mergeCell ref="T190:T191"/>
    <mergeCell ref="W190:W191"/>
    <mergeCell ref="X190:X191"/>
    <mergeCell ref="Y190:Y191"/>
    <mergeCell ref="Z190:Z191"/>
    <mergeCell ref="AC190:AC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AC239:AC240"/>
    <mergeCell ref="E237:E238"/>
    <mergeCell ref="F237:F238"/>
    <mergeCell ref="G237:G238"/>
    <mergeCell ref="H237:H238"/>
    <mergeCell ref="K237:K238"/>
    <mergeCell ref="L237:L238"/>
    <mergeCell ref="M237:M238"/>
    <mergeCell ref="N237:N238"/>
    <mergeCell ref="Q237:Q238"/>
    <mergeCell ref="R237:R238"/>
    <mergeCell ref="S237:S238"/>
    <mergeCell ref="T237:T238"/>
    <mergeCell ref="W237:W238"/>
    <mergeCell ref="X237:X238"/>
    <mergeCell ref="Y237:Y238"/>
    <mergeCell ref="Z237:Z238"/>
    <mergeCell ref="AC237:AC238"/>
    <mergeCell ref="F241:F242"/>
    <mergeCell ref="G241:G242"/>
    <mergeCell ref="H241:H242"/>
    <mergeCell ref="K241:K242"/>
    <mergeCell ref="L241:L242"/>
    <mergeCell ref="M241:M242"/>
    <mergeCell ref="N241:N242"/>
    <mergeCell ref="Q241:Q242"/>
    <mergeCell ref="R241:R242"/>
    <mergeCell ref="S241:S242"/>
    <mergeCell ref="T241:T242"/>
    <mergeCell ref="W241:W242"/>
    <mergeCell ref="X241:X242"/>
    <mergeCell ref="Y241:Y242"/>
    <mergeCell ref="Z241:Z242"/>
    <mergeCell ref="AC241:AC242"/>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Z239:Z240"/>
    <mergeCell ref="R245:R246"/>
    <mergeCell ref="S245:S246"/>
    <mergeCell ref="T245:T246"/>
    <mergeCell ref="W245:W246"/>
    <mergeCell ref="X245:X246"/>
    <mergeCell ref="Y245:Y246"/>
    <mergeCell ref="Z245:Z246"/>
    <mergeCell ref="AC245:AC246"/>
    <mergeCell ref="AD241:AD242"/>
    <mergeCell ref="AE241:AE242"/>
    <mergeCell ref="AF241:AF242"/>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AD243:AD244"/>
    <mergeCell ref="AE243:AE244"/>
    <mergeCell ref="AF243:AF244"/>
    <mergeCell ref="E241:E242"/>
    <mergeCell ref="AD245:AD246"/>
    <mergeCell ref="AE245:AE246"/>
    <mergeCell ref="AF245:AF246"/>
    <mergeCell ref="E247:E248"/>
    <mergeCell ref="F247:F248"/>
    <mergeCell ref="G247:G248"/>
    <mergeCell ref="H247:H248"/>
    <mergeCell ref="K247:K248"/>
    <mergeCell ref="L247:L248"/>
    <mergeCell ref="M247:M248"/>
    <mergeCell ref="N247:N248"/>
    <mergeCell ref="Q247:Q248"/>
    <mergeCell ref="R247:R248"/>
    <mergeCell ref="S247:S248"/>
    <mergeCell ref="T247:T248"/>
    <mergeCell ref="W247:W248"/>
    <mergeCell ref="X247:X248"/>
    <mergeCell ref="Y247:Y248"/>
    <mergeCell ref="Z247:Z248"/>
    <mergeCell ref="AC247:AC248"/>
    <mergeCell ref="AD247:AD248"/>
    <mergeCell ref="AE247:AE248"/>
    <mergeCell ref="AF247:AF248"/>
    <mergeCell ref="E245:E246"/>
    <mergeCell ref="F245:F246"/>
    <mergeCell ref="G245:G246"/>
    <mergeCell ref="H245:H246"/>
    <mergeCell ref="K245:K246"/>
    <mergeCell ref="L245:L246"/>
    <mergeCell ref="M245:M246"/>
    <mergeCell ref="N245:N246"/>
    <mergeCell ref="Q245:Q246"/>
    <mergeCell ref="E249:E250"/>
    <mergeCell ref="F249:F250"/>
    <mergeCell ref="G249:G250"/>
    <mergeCell ref="H249:H250"/>
    <mergeCell ref="K249:K250"/>
    <mergeCell ref="L249:L250"/>
    <mergeCell ref="M249:M250"/>
    <mergeCell ref="T249:T250"/>
    <mergeCell ref="W249:W250"/>
    <mergeCell ref="X249:X250"/>
    <mergeCell ref="Y249:Y250"/>
    <mergeCell ref="Z249:Z250"/>
    <mergeCell ref="AC249:AC250"/>
    <mergeCell ref="AD249:AD250"/>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X251:X252"/>
    <mergeCell ref="Y251:Y252"/>
    <mergeCell ref="Z251:Z252"/>
    <mergeCell ref="AC251:AC252"/>
    <mergeCell ref="AD251:AD252"/>
    <mergeCell ref="AE251:AE252"/>
    <mergeCell ref="AF251:AF252"/>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AD253:AD254"/>
    <mergeCell ref="AE253:AE254"/>
    <mergeCell ref="AF253:AF254"/>
    <mergeCell ref="E196:E197"/>
    <mergeCell ref="F196:F197"/>
    <mergeCell ref="G196:G197"/>
    <mergeCell ref="H196:H197"/>
    <mergeCell ref="E198:E199"/>
    <mergeCell ref="F198:F199"/>
    <mergeCell ref="G198:G199"/>
    <mergeCell ref="H198:H199"/>
    <mergeCell ref="E200:E201"/>
    <mergeCell ref="F200:F201"/>
    <mergeCell ref="G200:G201"/>
    <mergeCell ref="H200:H201"/>
    <mergeCell ref="H202:H203"/>
    <mergeCell ref="E204:E205"/>
    <mergeCell ref="F204:F205"/>
    <mergeCell ref="G204:G205"/>
    <mergeCell ref="H204:H205"/>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M196:M197"/>
    <mergeCell ref="N196:N197"/>
    <mergeCell ref="K198:K199"/>
    <mergeCell ref="L198:L199"/>
    <mergeCell ref="M198:M199"/>
    <mergeCell ref="N198:N199"/>
    <mergeCell ref="K200:K201"/>
    <mergeCell ref="L200:L201"/>
    <mergeCell ref="M200:M201"/>
    <mergeCell ref="N200:N201"/>
    <mergeCell ref="K202:K203"/>
    <mergeCell ref="L202:L203"/>
    <mergeCell ref="M202:M203"/>
    <mergeCell ref="N202:N203"/>
    <mergeCell ref="K204:K205"/>
    <mergeCell ref="L204:L205"/>
    <mergeCell ref="M204:M205"/>
    <mergeCell ref="N204:N205"/>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Q206:Q207"/>
    <mergeCell ref="R206:R207"/>
    <mergeCell ref="S206:S207"/>
    <mergeCell ref="T206:T207"/>
    <mergeCell ref="Q208:Q209"/>
    <mergeCell ref="R208:R209"/>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E213:E214"/>
    <mergeCell ref="F213:F214"/>
    <mergeCell ref="G213:G214"/>
    <mergeCell ref="H213:H214"/>
    <mergeCell ref="E215:E216"/>
    <mergeCell ref="F215:F216"/>
    <mergeCell ref="G215:G216"/>
    <mergeCell ref="H215:H216"/>
    <mergeCell ref="E217:E218"/>
    <mergeCell ref="F217:F218"/>
    <mergeCell ref="G217:G218"/>
    <mergeCell ref="H217:H218"/>
    <mergeCell ref="K213:K214"/>
    <mergeCell ref="L213:L214"/>
    <mergeCell ref="K215:K216"/>
    <mergeCell ref="L215:L216"/>
    <mergeCell ref="K217:K218"/>
    <mergeCell ref="L217:L218"/>
    <mergeCell ref="N217:N218"/>
    <mergeCell ref="Q213:Q214"/>
    <mergeCell ref="R213:R214"/>
    <mergeCell ref="S213:S214"/>
    <mergeCell ref="T213:T214"/>
    <mergeCell ref="Q215:Q216"/>
    <mergeCell ref="AF215:AF216"/>
    <mergeCell ref="Z213:Z214"/>
    <mergeCell ref="W215:W216"/>
    <mergeCell ref="X215:X216"/>
    <mergeCell ref="Y215:Y216"/>
    <mergeCell ref="Z215:Z216"/>
    <mergeCell ref="W213:W214"/>
    <mergeCell ref="X213:X214"/>
    <mergeCell ref="Y213:Y214"/>
    <mergeCell ref="AC217:AC218"/>
    <mergeCell ref="AD217:AD218"/>
    <mergeCell ref="AE217:AE218"/>
    <mergeCell ref="AF217:AF218"/>
    <mergeCell ref="AC213:AC214"/>
    <mergeCell ref="AD213:AD214"/>
    <mergeCell ref="AE213:AE214"/>
    <mergeCell ref="AF213:AF214"/>
    <mergeCell ref="AC215:AC216"/>
    <mergeCell ref="AD215:AD216"/>
  </mergeCells>
  <pageMargins left="0.43" right="0.35" top="0.38" bottom="0.23" header="0.34" footer="0.2"/>
  <pageSetup paperSize="9" scale="9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2D67-3E8E-4B37-925C-86364CF250A9}">
  <dimension ref="A1:AH260"/>
  <sheetViews>
    <sheetView zoomScaleNormal="100" workbookViewId="0">
      <selection activeCell="W5" sqref="W5"/>
    </sheetView>
  </sheetViews>
  <sheetFormatPr defaultRowHeight="10.199999999999999" x14ac:dyDescent="0.2"/>
  <cols>
    <col min="1" max="1" width="3.33203125" style="11" customWidth="1"/>
    <col min="2" max="2" width="25.88671875" style="11" customWidth="1"/>
    <col min="3" max="3" width="4.21875" style="11" customWidth="1"/>
    <col min="4" max="4" width="4.44140625" style="11" customWidth="1"/>
    <col min="5" max="9" width="4.77734375" style="11" customWidth="1"/>
    <col min="10" max="10" width="7.21875" style="11" customWidth="1"/>
    <col min="11" max="34" width="4.77734375" style="11" customWidth="1"/>
    <col min="35" max="16384" width="8.88671875" style="11"/>
  </cols>
  <sheetData>
    <row r="1" spans="1:34" x14ac:dyDescent="0.2">
      <c r="A1" s="9"/>
      <c r="B1" s="9"/>
      <c r="C1" s="9"/>
      <c r="D1" s="9"/>
    </row>
    <row r="2" spans="1:34" x14ac:dyDescent="0.2">
      <c r="A2" s="297" t="s">
        <v>51</v>
      </c>
      <c r="B2" s="297"/>
      <c r="C2" s="297"/>
      <c r="D2" s="326"/>
      <c r="E2" s="326"/>
      <c r="F2" s="326"/>
      <c r="G2" s="326"/>
      <c r="H2" s="326"/>
      <c r="I2" s="326"/>
      <c r="J2" s="326"/>
      <c r="K2" s="326"/>
      <c r="L2" s="326"/>
      <c r="M2" s="326"/>
      <c r="N2" s="326"/>
      <c r="O2" s="215"/>
    </row>
    <row r="3" spans="1:34" x14ac:dyDescent="0.2">
      <c r="A3" s="297" t="s">
        <v>50</v>
      </c>
      <c r="B3" s="297"/>
      <c r="C3" s="297"/>
      <c r="D3" s="326"/>
      <c r="E3" s="326"/>
      <c r="F3" s="326"/>
      <c r="G3" s="326"/>
      <c r="H3" s="326"/>
      <c r="I3" s="326"/>
      <c r="J3" s="326"/>
      <c r="K3" s="326"/>
      <c r="L3" s="326"/>
      <c r="M3" s="326"/>
      <c r="N3" s="546"/>
      <c r="O3" s="547"/>
    </row>
    <row r="4" spans="1:34" x14ac:dyDescent="0.2">
      <c r="A4" s="297" t="s">
        <v>104</v>
      </c>
      <c r="B4" s="297"/>
      <c r="C4" s="297"/>
      <c r="D4" s="12"/>
      <c r="J4" s="37"/>
      <c r="N4" s="546"/>
      <c r="O4" s="547"/>
    </row>
    <row r="5" spans="1:34" x14ac:dyDescent="0.2">
      <c r="A5" s="271" t="s">
        <v>148</v>
      </c>
      <c r="B5" s="269"/>
      <c r="C5" s="14"/>
      <c r="D5" s="14"/>
      <c r="J5" s="37"/>
      <c r="N5" s="546"/>
      <c r="O5" s="547"/>
      <c r="R5" s="15"/>
      <c r="W5" s="11" t="s">
        <v>74</v>
      </c>
      <c r="Y5" s="278"/>
      <c r="AC5" s="11" t="s">
        <v>74</v>
      </c>
    </row>
    <row r="6" spans="1:34" x14ac:dyDescent="0.2">
      <c r="A6" s="271" t="s">
        <v>154</v>
      </c>
      <c r="B6" s="269"/>
      <c r="C6" s="9"/>
      <c r="D6" s="9"/>
      <c r="I6" s="16"/>
      <c r="J6" s="37"/>
      <c r="N6" s="216"/>
      <c r="O6" s="215"/>
      <c r="U6" s="16"/>
      <c r="V6" s="16"/>
      <c r="Y6" s="278"/>
      <c r="AA6" s="16"/>
      <c r="AB6" s="16"/>
      <c r="AG6" s="16"/>
      <c r="AH6" s="16"/>
    </row>
    <row r="7" spans="1:34" x14ac:dyDescent="0.2">
      <c r="A7" s="268"/>
      <c r="B7" s="268"/>
      <c r="C7" s="268"/>
      <c r="N7" s="216"/>
      <c r="O7" s="215"/>
    </row>
    <row r="8" spans="1:34" x14ac:dyDescent="0.2">
      <c r="A8" s="268" t="s">
        <v>177</v>
      </c>
      <c r="B8" s="268"/>
      <c r="C8" s="268"/>
      <c r="D8" s="326"/>
      <c r="E8" s="326"/>
      <c r="F8" s="326"/>
      <c r="G8" s="326"/>
      <c r="H8" s="326"/>
      <c r="I8" s="326"/>
      <c r="J8" s="326"/>
      <c r="K8" s="326"/>
      <c r="L8" s="326"/>
      <c r="M8" s="326"/>
      <c r="N8" s="326"/>
      <c r="O8" s="326"/>
      <c r="P8" s="326"/>
      <c r="Q8" s="326"/>
      <c r="R8" s="326"/>
      <c r="S8" s="326"/>
      <c r="T8" s="326"/>
      <c r="U8" s="326"/>
      <c r="V8" s="326"/>
      <c r="W8" s="326"/>
      <c r="X8" s="326"/>
    </row>
    <row r="9" spans="1:34" x14ac:dyDescent="0.2">
      <c r="A9" s="9"/>
      <c r="B9" s="9"/>
      <c r="C9" s="9"/>
      <c r="D9" s="9"/>
    </row>
    <row r="10" spans="1:34" x14ac:dyDescent="0.2">
      <c r="A10" s="17"/>
      <c r="B10" s="515" t="s">
        <v>38</v>
      </c>
      <c r="C10" s="290"/>
      <c r="D10" s="18" t="s">
        <v>117</v>
      </c>
      <c r="E10" s="290">
        <v>2026</v>
      </c>
      <c r="F10" s="290"/>
      <c r="G10" s="290"/>
      <c r="H10" s="290"/>
      <c r="I10" s="251"/>
      <c r="J10" s="19"/>
      <c r="K10" s="290">
        <v>2027</v>
      </c>
      <c r="L10" s="290"/>
      <c r="M10" s="290"/>
      <c r="N10" s="290"/>
      <c r="O10" s="251"/>
      <c r="P10" s="251"/>
      <c r="Q10" s="290">
        <v>2028</v>
      </c>
      <c r="R10" s="290"/>
      <c r="S10" s="290"/>
      <c r="T10" s="290"/>
      <c r="U10" s="251"/>
      <c r="V10" s="251"/>
      <c r="W10" s="290">
        <v>2029</v>
      </c>
      <c r="X10" s="290"/>
      <c r="Y10" s="290"/>
      <c r="Z10" s="290"/>
      <c r="AA10" s="251"/>
      <c r="AB10" s="19"/>
      <c r="AC10" s="290">
        <v>2030</v>
      </c>
      <c r="AD10" s="290"/>
      <c r="AE10" s="290"/>
      <c r="AF10" s="290"/>
      <c r="AG10" s="251"/>
      <c r="AH10" s="19"/>
    </row>
    <row r="11" spans="1:34" x14ac:dyDescent="0.2">
      <c r="A11" s="17"/>
      <c r="B11" s="515"/>
      <c r="C11" s="290"/>
      <c r="D11" s="20"/>
      <c r="E11" s="290" t="s">
        <v>93</v>
      </c>
      <c r="F11" s="290"/>
      <c r="G11" s="251"/>
      <c r="H11" s="251"/>
      <c r="I11" s="251"/>
      <c r="J11" s="251"/>
      <c r="K11" s="290" t="s">
        <v>93</v>
      </c>
      <c r="L11" s="290"/>
      <c r="M11" s="251"/>
      <c r="N11" s="251"/>
      <c r="O11" s="251"/>
      <c r="P11" s="19"/>
      <c r="Q11" s="290" t="s">
        <v>93</v>
      </c>
      <c r="R11" s="290"/>
      <c r="S11" s="251"/>
      <c r="T11" s="251"/>
      <c r="U11" s="251"/>
      <c r="V11" s="19"/>
      <c r="W11" s="290" t="s">
        <v>93</v>
      </c>
      <c r="X11" s="290"/>
      <c r="Y11" s="251"/>
      <c r="Z11" s="251"/>
      <c r="AA11" s="251"/>
      <c r="AB11" s="19"/>
      <c r="AC11" s="290" t="s">
        <v>93</v>
      </c>
      <c r="AD11" s="290"/>
      <c r="AE11" s="251"/>
      <c r="AF11" s="251"/>
      <c r="AG11" s="251"/>
      <c r="AH11" s="19"/>
    </row>
    <row r="12" spans="1:34" x14ac:dyDescent="0.2">
      <c r="A12" s="17"/>
      <c r="B12" s="515"/>
      <c r="C12" s="290"/>
      <c r="D12" s="20"/>
      <c r="E12" s="17" t="s">
        <v>1</v>
      </c>
      <c r="F12" s="17" t="s">
        <v>2</v>
      </c>
      <c r="G12" s="17" t="s">
        <v>3</v>
      </c>
      <c r="H12" s="17" t="s">
        <v>4</v>
      </c>
      <c r="I12" s="21" t="s">
        <v>5</v>
      </c>
      <c r="J12" s="21" t="s">
        <v>112</v>
      </c>
      <c r="K12" s="17" t="s">
        <v>1</v>
      </c>
      <c r="L12" s="17" t="s">
        <v>2</v>
      </c>
      <c r="M12" s="17" t="s">
        <v>3</v>
      </c>
      <c r="N12" s="17" t="s">
        <v>4</v>
      </c>
      <c r="O12" s="21" t="s">
        <v>5</v>
      </c>
      <c r="P12" s="21" t="s">
        <v>119</v>
      </c>
      <c r="Q12" s="17" t="s">
        <v>1</v>
      </c>
      <c r="R12" s="17" t="s">
        <v>2</v>
      </c>
      <c r="S12" s="17" t="s">
        <v>3</v>
      </c>
      <c r="T12" s="17" t="s">
        <v>4</v>
      </c>
      <c r="U12" s="21" t="s">
        <v>5</v>
      </c>
      <c r="V12" s="21" t="s">
        <v>121</v>
      </c>
      <c r="W12" s="17" t="s">
        <v>1</v>
      </c>
      <c r="X12" s="17" t="s">
        <v>2</v>
      </c>
      <c r="Y12" s="17" t="s">
        <v>3</v>
      </c>
      <c r="Z12" s="17" t="s">
        <v>4</v>
      </c>
      <c r="AA12" s="21" t="s">
        <v>5</v>
      </c>
      <c r="AB12" s="21" t="s">
        <v>122</v>
      </c>
      <c r="AC12" s="17" t="s">
        <v>1</v>
      </c>
      <c r="AD12" s="17" t="s">
        <v>2</v>
      </c>
      <c r="AE12" s="17" t="s">
        <v>3</v>
      </c>
      <c r="AF12" s="17" t="s">
        <v>4</v>
      </c>
      <c r="AG12" s="21" t="s">
        <v>5</v>
      </c>
      <c r="AH12" s="21" t="s">
        <v>123</v>
      </c>
    </row>
    <row r="13" spans="1:34" x14ac:dyDescent="0.2">
      <c r="A13" s="22">
        <v>0</v>
      </c>
      <c r="B13" s="22">
        <v>1</v>
      </c>
      <c r="C13" s="22">
        <v>2</v>
      </c>
      <c r="D13" s="22">
        <v>3</v>
      </c>
      <c r="E13" s="22" t="s">
        <v>113</v>
      </c>
      <c r="F13" s="22" t="s">
        <v>114</v>
      </c>
      <c r="G13" s="22" t="s">
        <v>115</v>
      </c>
      <c r="H13" s="22" t="s">
        <v>116</v>
      </c>
      <c r="I13" s="22"/>
      <c r="J13" s="22"/>
      <c r="K13" s="22" t="s">
        <v>113</v>
      </c>
      <c r="L13" s="22" t="s">
        <v>114</v>
      </c>
      <c r="M13" s="22" t="s">
        <v>115</v>
      </c>
      <c r="N13" s="22" t="s">
        <v>116</v>
      </c>
      <c r="O13" s="22"/>
      <c r="P13" s="22"/>
      <c r="Q13" s="22" t="s">
        <v>113</v>
      </c>
      <c r="R13" s="22" t="s">
        <v>114</v>
      </c>
      <c r="S13" s="22" t="s">
        <v>115</v>
      </c>
      <c r="T13" s="22" t="s">
        <v>116</v>
      </c>
      <c r="U13" s="22"/>
      <c r="V13" s="22"/>
      <c r="W13" s="22" t="s">
        <v>113</v>
      </c>
      <c r="X13" s="22" t="s">
        <v>114</v>
      </c>
      <c r="Y13" s="22" t="s">
        <v>115</v>
      </c>
      <c r="Z13" s="22" t="s">
        <v>116</v>
      </c>
      <c r="AA13" s="22"/>
      <c r="AB13" s="22"/>
      <c r="AC13" s="22" t="s">
        <v>113</v>
      </c>
      <c r="AD13" s="22" t="s">
        <v>114</v>
      </c>
      <c r="AE13" s="22" t="s">
        <v>115</v>
      </c>
      <c r="AF13" s="22" t="s">
        <v>116</v>
      </c>
      <c r="AG13" s="22"/>
      <c r="AH13" s="22"/>
    </row>
    <row r="14" spans="1:34" ht="10.8" thickBot="1" x14ac:dyDescent="0.25">
      <c r="A14" s="17">
        <v>1.1000000000000001</v>
      </c>
      <c r="B14" s="204" t="s">
        <v>105</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row>
    <row r="15" spans="1:34" ht="10.8" thickBot="1" x14ac:dyDescent="0.25">
      <c r="A15" s="289"/>
      <c r="B15" s="284" t="s">
        <v>92</v>
      </c>
      <c r="C15" s="273" t="s">
        <v>6</v>
      </c>
      <c r="D15" s="251" t="s">
        <v>78</v>
      </c>
      <c r="E15" s="260">
        <v>1</v>
      </c>
      <c r="F15" s="260">
        <v>1</v>
      </c>
      <c r="G15" s="260">
        <v>1</v>
      </c>
      <c r="H15" s="260">
        <v>1</v>
      </c>
      <c r="I15" s="263"/>
      <c r="J15" s="260">
        <v>1</v>
      </c>
      <c r="K15" s="260">
        <v>1</v>
      </c>
      <c r="L15" s="260">
        <v>1</v>
      </c>
      <c r="M15" s="260">
        <v>1</v>
      </c>
      <c r="N15" s="260">
        <v>1</v>
      </c>
      <c r="O15" s="263"/>
      <c r="P15" s="260">
        <v>1</v>
      </c>
      <c r="Q15" s="260">
        <v>1</v>
      </c>
      <c r="R15" s="260">
        <v>1</v>
      </c>
      <c r="S15" s="260">
        <v>1</v>
      </c>
      <c r="T15" s="260">
        <v>1</v>
      </c>
      <c r="U15" s="260"/>
      <c r="V15" s="260">
        <v>1</v>
      </c>
      <c r="W15" s="260">
        <v>1</v>
      </c>
      <c r="X15" s="260">
        <v>1</v>
      </c>
      <c r="Y15" s="260">
        <v>1</v>
      </c>
      <c r="Z15" s="260">
        <v>1</v>
      </c>
      <c r="AA15" s="260"/>
      <c r="AB15" s="260">
        <v>1</v>
      </c>
      <c r="AC15" s="260">
        <v>1</v>
      </c>
      <c r="AD15" s="260">
        <v>1</v>
      </c>
      <c r="AE15" s="260">
        <v>1</v>
      </c>
      <c r="AF15" s="260">
        <v>1</v>
      </c>
      <c r="AG15" s="260"/>
      <c r="AH15" s="260">
        <v>1</v>
      </c>
    </row>
    <row r="16" spans="1:34" ht="10.8" thickBot="1" x14ac:dyDescent="0.25">
      <c r="A16" s="289"/>
      <c r="B16" s="284"/>
      <c r="C16" s="273"/>
      <c r="D16" s="251"/>
      <c r="E16" s="260"/>
      <c r="F16" s="260"/>
      <c r="G16" s="260"/>
      <c r="H16" s="260"/>
      <c r="I16" s="263"/>
      <c r="J16" s="260"/>
      <c r="K16" s="260"/>
      <c r="L16" s="260"/>
      <c r="M16" s="260"/>
      <c r="N16" s="260"/>
      <c r="O16" s="263"/>
      <c r="P16" s="260"/>
      <c r="Q16" s="260"/>
      <c r="R16" s="260"/>
      <c r="S16" s="260"/>
      <c r="T16" s="260"/>
      <c r="U16" s="260"/>
      <c r="V16" s="260"/>
      <c r="W16" s="260"/>
      <c r="X16" s="260"/>
      <c r="Y16" s="260"/>
      <c r="Z16" s="260"/>
      <c r="AA16" s="260"/>
      <c r="AB16" s="260"/>
      <c r="AC16" s="260"/>
      <c r="AD16" s="260"/>
      <c r="AE16" s="260"/>
      <c r="AF16" s="260"/>
      <c r="AG16" s="260"/>
      <c r="AH16" s="260"/>
    </row>
    <row r="17" spans="1:34" ht="10.8" thickBot="1" x14ac:dyDescent="0.25">
      <c r="A17" s="289"/>
      <c r="B17" s="284"/>
      <c r="C17" s="273" t="s">
        <v>7</v>
      </c>
      <c r="D17" s="251" t="s">
        <v>78</v>
      </c>
      <c r="E17" s="260">
        <v>1</v>
      </c>
      <c r="F17" s="260">
        <v>1</v>
      </c>
      <c r="G17" s="260">
        <v>1</v>
      </c>
      <c r="H17" s="260">
        <v>1</v>
      </c>
      <c r="I17" s="263"/>
      <c r="J17" s="260">
        <v>1</v>
      </c>
      <c r="K17" s="260">
        <v>1</v>
      </c>
      <c r="L17" s="260">
        <v>1</v>
      </c>
      <c r="M17" s="260">
        <v>1</v>
      </c>
      <c r="N17" s="260">
        <v>1</v>
      </c>
      <c r="O17" s="263"/>
      <c r="P17" s="260">
        <v>1</v>
      </c>
      <c r="Q17" s="260">
        <v>1</v>
      </c>
      <c r="R17" s="260">
        <v>1</v>
      </c>
      <c r="S17" s="260">
        <v>1</v>
      </c>
      <c r="T17" s="260">
        <v>1</v>
      </c>
      <c r="U17" s="260"/>
      <c r="V17" s="260">
        <v>1</v>
      </c>
      <c r="W17" s="260">
        <v>1</v>
      </c>
      <c r="X17" s="260">
        <v>1</v>
      </c>
      <c r="Y17" s="260">
        <v>1</v>
      </c>
      <c r="Z17" s="260">
        <v>1</v>
      </c>
      <c r="AA17" s="260"/>
      <c r="AB17" s="260">
        <v>1</v>
      </c>
      <c r="AC17" s="260">
        <v>1</v>
      </c>
      <c r="AD17" s="260">
        <v>1</v>
      </c>
      <c r="AE17" s="260">
        <v>1</v>
      </c>
      <c r="AF17" s="260">
        <v>1</v>
      </c>
      <c r="AG17" s="260"/>
      <c r="AH17" s="260">
        <v>1</v>
      </c>
    </row>
    <row r="18" spans="1:34" ht="10.8" thickBot="1" x14ac:dyDescent="0.25">
      <c r="A18" s="289"/>
      <c r="B18" s="284"/>
      <c r="C18" s="273"/>
      <c r="D18" s="251"/>
      <c r="E18" s="260"/>
      <c r="F18" s="260"/>
      <c r="G18" s="260"/>
      <c r="H18" s="260"/>
      <c r="I18" s="263"/>
      <c r="J18" s="260"/>
      <c r="K18" s="260"/>
      <c r="L18" s="260"/>
      <c r="M18" s="260"/>
      <c r="N18" s="260"/>
      <c r="O18" s="263"/>
      <c r="P18" s="260"/>
      <c r="Q18" s="260"/>
      <c r="R18" s="260"/>
      <c r="S18" s="260"/>
      <c r="T18" s="260"/>
      <c r="U18" s="260"/>
      <c r="V18" s="260"/>
      <c r="W18" s="260"/>
      <c r="X18" s="260"/>
      <c r="Y18" s="260"/>
      <c r="Z18" s="260"/>
      <c r="AA18" s="260"/>
      <c r="AB18" s="260"/>
      <c r="AC18" s="260"/>
      <c r="AD18" s="260"/>
      <c r="AE18" s="260"/>
      <c r="AF18" s="260"/>
      <c r="AG18" s="260"/>
      <c r="AH18" s="260"/>
    </row>
    <row r="19" spans="1:34" ht="10.8" thickBot="1" x14ac:dyDescent="0.25">
      <c r="A19" s="289"/>
      <c r="B19" s="284"/>
      <c r="C19" s="273" t="s">
        <v>8</v>
      </c>
      <c r="D19" s="251" t="s">
        <v>78</v>
      </c>
      <c r="E19" s="260">
        <v>1</v>
      </c>
      <c r="F19" s="260">
        <v>1</v>
      </c>
      <c r="G19" s="260">
        <v>1</v>
      </c>
      <c r="H19" s="260">
        <v>1</v>
      </c>
      <c r="I19" s="263"/>
      <c r="J19" s="260">
        <v>1</v>
      </c>
      <c r="K19" s="260">
        <v>1</v>
      </c>
      <c r="L19" s="260">
        <v>1</v>
      </c>
      <c r="M19" s="260">
        <v>1</v>
      </c>
      <c r="N19" s="260">
        <v>1</v>
      </c>
      <c r="O19" s="263"/>
      <c r="P19" s="260">
        <v>1</v>
      </c>
      <c r="Q19" s="260">
        <v>1</v>
      </c>
      <c r="R19" s="260">
        <v>1</v>
      </c>
      <c r="S19" s="260">
        <v>1</v>
      </c>
      <c r="T19" s="260">
        <v>1</v>
      </c>
      <c r="U19" s="260"/>
      <c r="V19" s="260">
        <v>1</v>
      </c>
      <c r="W19" s="260">
        <v>1</v>
      </c>
      <c r="X19" s="260">
        <v>1</v>
      </c>
      <c r="Y19" s="260">
        <v>1</v>
      </c>
      <c r="Z19" s="260">
        <v>1</v>
      </c>
      <c r="AA19" s="260"/>
      <c r="AB19" s="260">
        <v>1</v>
      </c>
      <c r="AC19" s="260">
        <v>1</v>
      </c>
      <c r="AD19" s="260">
        <v>1</v>
      </c>
      <c r="AE19" s="260">
        <v>1</v>
      </c>
      <c r="AF19" s="260">
        <v>1</v>
      </c>
      <c r="AG19" s="260"/>
      <c r="AH19" s="260">
        <v>1</v>
      </c>
    </row>
    <row r="20" spans="1:34" ht="10.8" thickBot="1" x14ac:dyDescent="0.25">
      <c r="A20" s="289"/>
      <c r="B20" s="284"/>
      <c r="C20" s="273"/>
      <c r="D20" s="251"/>
      <c r="E20" s="260"/>
      <c r="F20" s="260"/>
      <c r="G20" s="260"/>
      <c r="H20" s="260"/>
      <c r="I20" s="263"/>
      <c r="J20" s="260"/>
      <c r="K20" s="260"/>
      <c r="L20" s="260"/>
      <c r="M20" s="260"/>
      <c r="N20" s="260"/>
      <c r="O20" s="263"/>
      <c r="P20" s="260"/>
      <c r="Q20" s="260"/>
      <c r="R20" s="260"/>
      <c r="S20" s="260"/>
      <c r="T20" s="260"/>
      <c r="U20" s="260"/>
      <c r="V20" s="260"/>
      <c r="W20" s="260"/>
      <c r="X20" s="260"/>
      <c r="Y20" s="260"/>
      <c r="Z20" s="260"/>
      <c r="AA20" s="260"/>
      <c r="AB20" s="260"/>
      <c r="AC20" s="260"/>
      <c r="AD20" s="260"/>
      <c r="AE20" s="260"/>
      <c r="AF20" s="260"/>
      <c r="AG20" s="260"/>
      <c r="AH20" s="260"/>
    </row>
    <row r="21" spans="1:34" ht="10.8" thickBot="1" x14ac:dyDescent="0.25">
      <c r="A21" s="289"/>
      <c r="B21" s="284" t="s">
        <v>80</v>
      </c>
      <c r="C21" s="273" t="s">
        <v>6</v>
      </c>
      <c r="D21" s="251" t="s">
        <v>78</v>
      </c>
      <c r="E21" s="260">
        <v>1</v>
      </c>
      <c r="F21" s="260">
        <v>1</v>
      </c>
      <c r="G21" s="260">
        <v>1</v>
      </c>
      <c r="H21" s="260">
        <v>1</v>
      </c>
      <c r="I21" s="263"/>
      <c r="J21" s="260">
        <v>1</v>
      </c>
      <c r="K21" s="260">
        <v>1</v>
      </c>
      <c r="L21" s="260">
        <v>1</v>
      </c>
      <c r="M21" s="260">
        <v>1</v>
      </c>
      <c r="N21" s="260">
        <v>1</v>
      </c>
      <c r="O21" s="263"/>
      <c r="P21" s="260">
        <v>1</v>
      </c>
      <c r="Q21" s="260">
        <v>1</v>
      </c>
      <c r="R21" s="260">
        <v>1</v>
      </c>
      <c r="S21" s="260">
        <v>1</v>
      </c>
      <c r="T21" s="260">
        <v>1</v>
      </c>
      <c r="U21" s="260"/>
      <c r="V21" s="260">
        <v>1</v>
      </c>
      <c r="W21" s="260">
        <v>1</v>
      </c>
      <c r="X21" s="260">
        <v>1</v>
      </c>
      <c r="Y21" s="260">
        <v>1</v>
      </c>
      <c r="Z21" s="260">
        <v>1</v>
      </c>
      <c r="AA21" s="260"/>
      <c r="AB21" s="260">
        <v>1</v>
      </c>
      <c r="AC21" s="260">
        <v>1</v>
      </c>
      <c r="AD21" s="260">
        <v>1</v>
      </c>
      <c r="AE21" s="260">
        <v>1</v>
      </c>
      <c r="AF21" s="260">
        <v>1</v>
      </c>
      <c r="AG21" s="260"/>
      <c r="AH21" s="260">
        <v>1</v>
      </c>
    </row>
    <row r="22" spans="1:34" ht="10.8" thickBot="1" x14ac:dyDescent="0.25">
      <c r="A22" s="289"/>
      <c r="B22" s="284"/>
      <c r="C22" s="273"/>
      <c r="D22" s="251"/>
      <c r="E22" s="260"/>
      <c r="F22" s="260"/>
      <c r="G22" s="260"/>
      <c r="H22" s="260"/>
      <c r="I22" s="263"/>
      <c r="J22" s="260"/>
      <c r="K22" s="260"/>
      <c r="L22" s="260"/>
      <c r="M22" s="260"/>
      <c r="N22" s="260"/>
      <c r="O22" s="263"/>
      <c r="P22" s="260"/>
      <c r="Q22" s="260"/>
      <c r="R22" s="260"/>
      <c r="S22" s="260"/>
      <c r="T22" s="260"/>
      <c r="U22" s="260"/>
      <c r="V22" s="260"/>
      <c r="W22" s="260"/>
      <c r="X22" s="260"/>
      <c r="Y22" s="260"/>
      <c r="Z22" s="260"/>
      <c r="AA22" s="260"/>
      <c r="AB22" s="260"/>
      <c r="AC22" s="260"/>
      <c r="AD22" s="260"/>
      <c r="AE22" s="260"/>
      <c r="AF22" s="260"/>
      <c r="AG22" s="260"/>
      <c r="AH22" s="260"/>
    </row>
    <row r="23" spans="1:34" ht="10.8" thickBot="1" x14ac:dyDescent="0.25">
      <c r="A23" s="289"/>
      <c r="B23" s="284"/>
      <c r="C23" s="273" t="s">
        <v>7</v>
      </c>
      <c r="D23" s="251" t="s">
        <v>78</v>
      </c>
      <c r="E23" s="260">
        <v>1</v>
      </c>
      <c r="F23" s="260">
        <v>1</v>
      </c>
      <c r="G23" s="260">
        <v>1</v>
      </c>
      <c r="H23" s="260">
        <v>1</v>
      </c>
      <c r="I23" s="263"/>
      <c r="J23" s="260">
        <v>1</v>
      </c>
      <c r="K23" s="260">
        <v>1</v>
      </c>
      <c r="L23" s="260">
        <v>1</v>
      </c>
      <c r="M23" s="260">
        <v>1</v>
      </c>
      <c r="N23" s="260">
        <v>1</v>
      </c>
      <c r="O23" s="263"/>
      <c r="P23" s="260">
        <v>1</v>
      </c>
      <c r="Q23" s="260">
        <v>1</v>
      </c>
      <c r="R23" s="260">
        <v>1</v>
      </c>
      <c r="S23" s="260">
        <v>1</v>
      </c>
      <c r="T23" s="260">
        <v>1</v>
      </c>
      <c r="U23" s="260"/>
      <c r="V23" s="260">
        <v>1</v>
      </c>
      <c r="W23" s="260">
        <v>1</v>
      </c>
      <c r="X23" s="260">
        <v>1</v>
      </c>
      <c r="Y23" s="260">
        <v>1</v>
      </c>
      <c r="Z23" s="260">
        <v>1</v>
      </c>
      <c r="AA23" s="260"/>
      <c r="AB23" s="260">
        <v>1</v>
      </c>
      <c r="AC23" s="260">
        <v>1</v>
      </c>
      <c r="AD23" s="260">
        <v>1</v>
      </c>
      <c r="AE23" s="260">
        <v>1</v>
      </c>
      <c r="AF23" s="260">
        <v>1</v>
      </c>
      <c r="AG23" s="260"/>
      <c r="AH23" s="260">
        <v>1</v>
      </c>
    </row>
    <row r="24" spans="1:34" ht="10.8" thickBot="1" x14ac:dyDescent="0.25">
      <c r="A24" s="289"/>
      <c r="B24" s="284"/>
      <c r="C24" s="273"/>
      <c r="D24" s="251"/>
      <c r="E24" s="260"/>
      <c r="F24" s="260"/>
      <c r="G24" s="260"/>
      <c r="H24" s="260"/>
      <c r="I24" s="263"/>
      <c r="J24" s="260"/>
      <c r="K24" s="260"/>
      <c r="L24" s="260"/>
      <c r="M24" s="260"/>
      <c r="N24" s="260"/>
      <c r="O24" s="263"/>
      <c r="P24" s="260"/>
      <c r="Q24" s="260"/>
      <c r="R24" s="260"/>
      <c r="S24" s="260"/>
      <c r="T24" s="260"/>
      <c r="U24" s="260"/>
      <c r="V24" s="260"/>
      <c r="W24" s="260"/>
      <c r="X24" s="260"/>
      <c r="Y24" s="260"/>
      <c r="Z24" s="260"/>
      <c r="AA24" s="260"/>
      <c r="AB24" s="260"/>
      <c r="AC24" s="260"/>
      <c r="AD24" s="260"/>
      <c r="AE24" s="260"/>
      <c r="AF24" s="260"/>
      <c r="AG24" s="260"/>
      <c r="AH24" s="260"/>
    </row>
    <row r="25" spans="1:34" ht="10.8" thickBot="1" x14ac:dyDescent="0.25">
      <c r="A25" s="289"/>
      <c r="B25" s="284"/>
      <c r="C25" s="273" t="s">
        <v>8</v>
      </c>
      <c r="D25" s="251" t="s">
        <v>78</v>
      </c>
      <c r="E25" s="260">
        <v>1</v>
      </c>
      <c r="F25" s="260">
        <v>1</v>
      </c>
      <c r="G25" s="260">
        <v>1</v>
      </c>
      <c r="H25" s="260">
        <v>1</v>
      </c>
      <c r="I25" s="263"/>
      <c r="J25" s="260">
        <v>1</v>
      </c>
      <c r="K25" s="260">
        <v>1</v>
      </c>
      <c r="L25" s="260">
        <v>1</v>
      </c>
      <c r="M25" s="260">
        <v>1</v>
      </c>
      <c r="N25" s="260">
        <v>1</v>
      </c>
      <c r="O25" s="263"/>
      <c r="P25" s="260">
        <v>1</v>
      </c>
      <c r="Q25" s="260">
        <v>1</v>
      </c>
      <c r="R25" s="260">
        <v>1</v>
      </c>
      <c r="S25" s="260">
        <v>1</v>
      </c>
      <c r="T25" s="260">
        <v>1</v>
      </c>
      <c r="U25" s="260"/>
      <c r="V25" s="260">
        <v>1</v>
      </c>
      <c r="W25" s="260">
        <v>1</v>
      </c>
      <c r="X25" s="260">
        <v>1</v>
      </c>
      <c r="Y25" s="260">
        <v>1</v>
      </c>
      <c r="Z25" s="260">
        <v>1</v>
      </c>
      <c r="AA25" s="260"/>
      <c r="AB25" s="260">
        <v>1</v>
      </c>
      <c r="AC25" s="260">
        <v>1</v>
      </c>
      <c r="AD25" s="260">
        <v>1</v>
      </c>
      <c r="AE25" s="260">
        <v>1</v>
      </c>
      <c r="AF25" s="260">
        <v>1</v>
      </c>
      <c r="AG25" s="260"/>
      <c r="AH25" s="260">
        <v>1</v>
      </c>
    </row>
    <row r="26" spans="1:34" ht="10.8" thickBot="1" x14ac:dyDescent="0.25">
      <c r="A26" s="289"/>
      <c r="B26" s="284"/>
      <c r="C26" s="273"/>
      <c r="D26" s="251"/>
      <c r="E26" s="260"/>
      <c r="F26" s="260"/>
      <c r="G26" s="260"/>
      <c r="H26" s="260"/>
      <c r="I26" s="263"/>
      <c r="J26" s="260"/>
      <c r="K26" s="260"/>
      <c r="L26" s="260"/>
      <c r="M26" s="260"/>
      <c r="N26" s="260"/>
      <c r="O26" s="263"/>
      <c r="P26" s="260"/>
      <c r="Q26" s="260"/>
      <c r="R26" s="260"/>
      <c r="S26" s="260"/>
      <c r="T26" s="260"/>
      <c r="U26" s="260"/>
      <c r="V26" s="260"/>
      <c r="W26" s="260"/>
      <c r="X26" s="260"/>
      <c r="Y26" s="260"/>
      <c r="Z26" s="260"/>
      <c r="AA26" s="260"/>
      <c r="AB26" s="260"/>
      <c r="AC26" s="260"/>
      <c r="AD26" s="260"/>
      <c r="AE26" s="260"/>
      <c r="AF26" s="260"/>
      <c r="AG26" s="260"/>
      <c r="AH26" s="260"/>
    </row>
    <row r="27" spans="1:34" ht="10.8" thickBot="1" x14ac:dyDescent="0.25">
      <c r="A27" s="289"/>
      <c r="B27" s="284" t="s">
        <v>81</v>
      </c>
      <c r="C27" s="273" t="s">
        <v>6</v>
      </c>
      <c r="D27" s="251" t="s">
        <v>78</v>
      </c>
      <c r="E27" s="260">
        <v>1</v>
      </c>
      <c r="F27" s="260">
        <v>1</v>
      </c>
      <c r="G27" s="260">
        <v>1</v>
      </c>
      <c r="H27" s="260">
        <v>1</v>
      </c>
      <c r="I27" s="263"/>
      <c r="J27" s="260">
        <v>1</v>
      </c>
      <c r="K27" s="260">
        <v>1</v>
      </c>
      <c r="L27" s="260">
        <v>1</v>
      </c>
      <c r="M27" s="260">
        <v>1</v>
      </c>
      <c r="N27" s="260">
        <v>1</v>
      </c>
      <c r="O27" s="263"/>
      <c r="P27" s="260">
        <v>1</v>
      </c>
      <c r="Q27" s="260">
        <v>1</v>
      </c>
      <c r="R27" s="260">
        <v>1</v>
      </c>
      <c r="S27" s="260">
        <v>1</v>
      </c>
      <c r="T27" s="260">
        <v>1</v>
      </c>
      <c r="U27" s="260"/>
      <c r="V27" s="260">
        <v>1</v>
      </c>
      <c r="W27" s="260">
        <v>1</v>
      </c>
      <c r="X27" s="260">
        <v>1</v>
      </c>
      <c r="Y27" s="260">
        <v>1</v>
      </c>
      <c r="Z27" s="260">
        <v>1</v>
      </c>
      <c r="AA27" s="260"/>
      <c r="AB27" s="260">
        <v>1</v>
      </c>
      <c r="AC27" s="260">
        <v>1</v>
      </c>
      <c r="AD27" s="260">
        <v>1</v>
      </c>
      <c r="AE27" s="260">
        <v>1</v>
      </c>
      <c r="AF27" s="260">
        <v>1</v>
      </c>
      <c r="AG27" s="260"/>
      <c r="AH27" s="260">
        <v>1</v>
      </c>
    </row>
    <row r="28" spans="1:34" ht="10.8" thickBot="1" x14ac:dyDescent="0.25">
      <c r="A28" s="289"/>
      <c r="B28" s="284"/>
      <c r="C28" s="273"/>
      <c r="D28" s="251"/>
      <c r="E28" s="260"/>
      <c r="F28" s="260"/>
      <c r="G28" s="260"/>
      <c r="H28" s="260"/>
      <c r="I28" s="263"/>
      <c r="J28" s="260"/>
      <c r="K28" s="260"/>
      <c r="L28" s="260"/>
      <c r="M28" s="260"/>
      <c r="N28" s="260"/>
      <c r="O28" s="263"/>
      <c r="P28" s="260"/>
      <c r="Q28" s="260"/>
      <c r="R28" s="260"/>
      <c r="S28" s="260"/>
      <c r="T28" s="260"/>
      <c r="U28" s="260"/>
      <c r="V28" s="260"/>
      <c r="W28" s="260"/>
      <c r="X28" s="260"/>
      <c r="Y28" s="260"/>
      <c r="Z28" s="260"/>
      <c r="AA28" s="260"/>
      <c r="AB28" s="260"/>
      <c r="AC28" s="260"/>
      <c r="AD28" s="260"/>
      <c r="AE28" s="260"/>
      <c r="AF28" s="260"/>
      <c r="AG28" s="260"/>
      <c r="AH28" s="260"/>
    </row>
    <row r="29" spans="1:34" ht="10.8" thickBot="1" x14ac:dyDescent="0.25">
      <c r="A29" s="289"/>
      <c r="B29" s="284"/>
      <c r="C29" s="273" t="s">
        <v>7</v>
      </c>
      <c r="D29" s="251" t="s">
        <v>78</v>
      </c>
      <c r="E29" s="260">
        <v>1</v>
      </c>
      <c r="F29" s="260">
        <v>1</v>
      </c>
      <c r="G29" s="260">
        <v>1</v>
      </c>
      <c r="H29" s="260">
        <v>1</v>
      </c>
      <c r="I29" s="263"/>
      <c r="J29" s="260">
        <v>1</v>
      </c>
      <c r="K29" s="260">
        <v>1</v>
      </c>
      <c r="L29" s="260">
        <v>1</v>
      </c>
      <c r="M29" s="260">
        <v>1</v>
      </c>
      <c r="N29" s="260">
        <v>1</v>
      </c>
      <c r="O29" s="263"/>
      <c r="P29" s="260">
        <v>1</v>
      </c>
      <c r="Q29" s="260">
        <v>1</v>
      </c>
      <c r="R29" s="260">
        <v>1</v>
      </c>
      <c r="S29" s="260">
        <v>1</v>
      </c>
      <c r="T29" s="260">
        <v>1</v>
      </c>
      <c r="U29" s="260"/>
      <c r="V29" s="260">
        <v>1</v>
      </c>
      <c r="W29" s="260">
        <v>1</v>
      </c>
      <c r="X29" s="260">
        <v>1</v>
      </c>
      <c r="Y29" s="260">
        <v>1</v>
      </c>
      <c r="Z29" s="260">
        <v>1</v>
      </c>
      <c r="AA29" s="260"/>
      <c r="AB29" s="260">
        <v>1</v>
      </c>
      <c r="AC29" s="260">
        <v>1</v>
      </c>
      <c r="AD29" s="260">
        <v>1</v>
      </c>
      <c r="AE29" s="260">
        <v>1</v>
      </c>
      <c r="AF29" s="260">
        <v>1</v>
      </c>
      <c r="AG29" s="260"/>
      <c r="AH29" s="260">
        <v>1</v>
      </c>
    </row>
    <row r="30" spans="1:34" ht="10.8" thickBot="1" x14ac:dyDescent="0.25">
      <c r="A30" s="289"/>
      <c r="B30" s="284"/>
      <c r="C30" s="273"/>
      <c r="D30" s="251"/>
      <c r="E30" s="260"/>
      <c r="F30" s="260"/>
      <c r="G30" s="260"/>
      <c r="H30" s="260"/>
      <c r="I30" s="263"/>
      <c r="J30" s="260"/>
      <c r="K30" s="260"/>
      <c r="L30" s="260"/>
      <c r="M30" s="260"/>
      <c r="N30" s="260"/>
      <c r="O30" s="263"/>
      <c r="P30" s="260"/>
      <c r="Q30" s="260"/>
      <c r="R30" s="260"/>
      <c r="S30" s="260"/>
      <c r="T30" s="260"/>
      <c r="U30" s="260"/>
      <c r="V30" s="260"/>
      <c r="W30" s="260"/>
      <c r="X30" s="260"/>
      <c r="Y30" s="260"/>
      <c r="Z30" s="260"/>
      <c r="AA30" s="260"/>
      <c r="AB30" s="260"/>
      <c r="AC30" s="260"/>
      <c r="AD30" s="260"/>
      <c r="AE30" s="260"/>
      <c r="AF30" s="260"/>
      <c r="AG30" s="260"/>
      <c r="AH30" s="260"/>
    </row>
    <row r="31" spans="1:34" ht="10.8" thickBot="1" x14ac:dyDescent="0.25">
      <c r="A31" s="289"/>
      <c r="B31" s="284"/>
      <c r="C31" s="273" t="s">
        <v>8</v>
      </c>
      <c r="D31" s="251" t="s">
        <v>78</v>
      </c>
      <c r="E31" s="260">
        <v>1</v>
      </c>
      <c r="F31" s="260">
        <v>1</v>
      </c>
      <c r="G31" s="260">
        <v>1</v>
      </c>
      <c r="H31" s="260">
        <v>1</v>
      </c>
      <c r="I31" s="263"/>
      <c r="J31" s="260">
        <v>1</v>
      </c>
      <c r="K31" s="260">
        <v>1</v>
      </c>
      <c r="L31" s="260">
        <v>1</v>
      </c>
      <c r="M31" s="260">
        <v>1</v>
      </c>
      <c r="N31" s="260">
        <v>1</v>
      </c>
      <c r="O31" s="263"/>
      <c r="P31" s="260">
        <v>1</v>
      </c>
      <c r="Q31" s="260">
        <v>1</v>
      </c>
      <c r="R31" s="260">
        <v>1</v>
      </c>
      <c r="S31" s="260">
        <v>1</v>
      </c>
      <c r="T31" s="260">
        <v>1</v>
      </c>
      <c r="U31" s="260"/>
      <c r="V31" s="260">
        <v>1</v>
      </c>
      <c r="W31" s="260">
        <v>1</v>
      </c>
      <c r="X31" s="260">
        <v>1</v>
      </c>
      <c r="Y31" s="260">
        <v>1</v>
      </c>
      <c r="Z31" s="260">
        <v>1</v>
      </c>
      <c r="AA31" s="260"/>
      <c r="AB31" s="260">
        <v>1</v>
      </c>
      <c r="AC31" s="260">
        <v>1</v>
      </c>
      <c r="AD31" s="260">
        <v>1</v>
      </c>
      <c r="AE31" s="260">
        <v>1</v>
      </c>
      <c r="AF31" s="260">
        <v>1</v>
      </c>
      <c r="AG31" s="260"/>
      <c r="AH31" s="260">
        <v>1</v>
      </c>
    </row>
    <row r="32" spans="1:34" ht="10.8" thickBot="1" x14ac:dyDescent="0.25">
      <c r="A32" s="289"/>
      <c r="B32" s="284"/>
      <c r="C32" s="273"/>
      <c r="D32" s="251"/>
      <c r="E32" s="260"/>
      <c r="F32" s="260"/>
      <c r="G32" s="260"/>
      <c r="H32" s="260"/>
      <c r="I32" s="263"/>
      <c r="J32" s="260"/>
      <c r="K32" s="260"/>
      <c r="L32" s="260"/>
      <c r="M32" s="260"/>
      <c r="N32" s="260"/>
      <c r="O32" s="263"/>
      <c r="P32" s="260"/>
      <c r="Q32" s="260"/>
      <c r="R32" s="260"/>
      <c r="S32" s="260"/>
      <c r="T32" s="260"/>
      <c r="U32" s="260"/>
      <c r="V32" s="260"/>
      <c r="W32" s="260"/>
      <c r="X32" s="260"/>
      <c r="Y32" s="260"/>
      <c r="Z32" s="260"/>
      <c r="AA32" s="260"/>
      <c r="AB32" s="260"/>
      <c r="AC32" s="260"/>
      <c r="AD32" s="260"/>
      <c r="AE32" s="260"/>
      <c r="AF32" s="260"/>
      <c r="AG32" s="260"/>
      <c r="AH32" s="260"/>
    </row>
    <row r="33" spans="1:34" ht="10.8" thickBot="1" x14ac:dyDescent="0.25">
      <c r="A33" s="289"/>
      <c r="B33" s="294" t="s">
        <v>79</v>
      </c>
      <c r="C33" s="273" t="s">
        <v>9</v>
      </c>
      <c r="D33" s="251" t="s">
        <v>78</v>
      </c>
      <c r="E33" s="260">
        <v>0.1</v>
      </c>
      <c r="F33" s="260">
        <v>0.1</v>
      </c>
      <c r="G33" s="260">
        <v>0.1</v>
      </c>
      <c r="H33" s="260">
        <v>0.1</v>
      </c>
      <c r="I33" s="263"/>
      <c r="J33" s="260">
        <v>0.1</v>
      </c>
      <c r="K33" s="260">
        <v>0.1</v>
      </c>
      <c r="L33" s="260">
        <v>0.1</v>
      </c>
      <c r="M33" s="260">
        <v>0.1</v>
      </c>
      <c r="N33" s="260">
        <v>0.1</v>
      </c>
      <c r="O33" s="263"/>
      <c r="P33" s="260">
        <v>0.1</v>
      </c>
      <c r="Q33" s="260">
        <v>0.1</v>
      </c>
      <c r="R33" s="260">
        <v>0.1</v>
      </c>
      <c r="S33" s="260">
        <v>0.1</v>
      </c>
      <c r="T33" s="260">
        <v>0.1</v>
      </c>
      <c r="U33" s="260"/>
      <c r="V33" s="260">
        <v>0.1</v>
      </c>
      <c r="W33" s="260">
        <v>0.1</v>
      </c>
      <c r="X33" s="260">
        <v>0.1</v>
      </c>
      <c r="Y33" s="260">
        <v>0.1</v>
      </c>
      <c r="Z33" s="260">
        <v>0.1</v>
      </c>
      <c r="AA33" s="260"/>
      <c r="AB33" s="260">
        <v>0.1</v>
      </c>
      <c r="AC33" s="260">
        <v>0.1</v>
      </c>
      <c r="AD33" s="260">
        <v>0.1</v>
      </c>
      <c r="AE33" s="260">
        <v>0.1</v>
      </c>
      <c r="AF33" s="260">
        <v>0.1</v>
      </c>
      <c r="AG33" s="260"/>
      <c r="AH33" s="260">
        <v>0.1</v>
      </c>
    </row>
    <row r="34" spans="1:34" ht="10.8" thickBot="1" x14ac:dyDescent="0.25">
      <c r="A34" s="289"/>
      <c r="B34" s="294"/>
      <c r="C34" s="273"/>
      <c r="D34" s="251"/>
      <c r="E34" s="260"/>
      <c r="F34" s="260"/>
      <c r="G34" s="260"/>
      <c r="H34" s="260"/>
      <c r="I34" s="263"/>
      <c r="J34" s="260"/>
      <c r="K34" s="260"/>
      <c r="L34" s="260"/>
      <c r="M34" s="260"/>
      <c r="N34" s="260"/>
      <c r="O34" s="263"/>
      <c r="P34" s="260"/>
      <c r="Q34" s="260"/>
      <c r="R34" s="260"/>
      <c r="S34" s="260"/>
      <c r="T34" s="260"/>
      <c r="U34" s="260"/>
      <c r="V34" s="260"/>
      <c r="W34" s="260"/>
      <c r="X34" s="260"/>
      <c r="Y34" s="260"/>
      <c r="Z34" s="260"/>
      <c r="AA34" s="260"/>
      <c r="AB34" s="260"/>
      <c r="AC34" s="260"/>
      <c r="AD34" s="260"/>
      <c r="AE34" s="260"/>
      <c r="AF34" s="260"/>
      <c r="AG34" s="260"/>
      <c r="AH34" s="260"/>
    </row>
    <row r="35" spans="1:34" ht="10.8" thickBot="1" x14ac:dyDescent="0.25">
      <c r="A35" s="289"/>
      <c r="B35" s="294"/>
      <c r="C35" s="273" t="s">
        <v>10</v>
      </c>
      <c r="D35" s="251" t="s">
        <v>78</v>
      </c>
      <c r="E35" s="260">
        <v>0.9</v>
      </c>
      <c r="F35" s="260">
        <v>0.9</v>
      </c>
      <c r="G35" s="260">
        <v>0.9</v>
      </c>
      <c r="H35" s="260">
        <v>0.9</v>
      </c>
      <c r="I35" s="263"/>
      <c r="J35" s="260">
        <v>0.9</v>
      </c>
      <c r="K35" s="260">
        <v>0.9</v>
      </c>
      <c r="L35" s="260">
        <v>0.9</v>
      </c>
      <c r="M35" s="260">
        <v>0.9</v>
      </c>
      <c r="N35" s="260">
        <v>0.9</v>
      </c>
      <c r="O35" s="263"/>
      <c r="P35" s="260">
        <v>0.9</v>
      </c>
      <c r="Q35" s="260">
        <v>0.9</v>
      </c>
      <c r="R35" s="260">
        <v>0.9</v>
      </c>
      <c r="S35" s="260">
        <v>0.9</v>
      </c>
      <c r="T35" s="260">
        <v>0.9</v>
      </c>
      <c r="U35" s="260"/>
      <c r="V35" s="260">
        <v>0.9</v>
      </c>
      <c r="W35" s="260">
        <v>0.9</v>
      </c>
      <c r="X35" s="260">
        <v>0.9</v>
      </c>
      <c r="Y35" s="260">
        <v>0.9</v>
      </c>
      <c r="Z35" s="260">
        <v>0.9</v>
      </c>
      <c r="AA35" s="260"/>
      <c r="AB35" s="260">
        <v>0.9</v>
      </c>
      <c r="AC35" s="260">
        <v>0.9</v>
      </c>
      <c r="AD35" s="260">
        <v>0.9</v>
      </c>
      <c r="AE35" s="260">
        <v>0.9</v>
      </c>
      <c r="AF35" s="260">
        <v>0.9</v>
      </c>
      <c r="AG35" s="260"/>
      <c r="AH35" s="260">
        <v>0.9</v>
      </c>
    </row>
    <row r="36" spans="1:34" ht="10.8" thickBot="1" x14ac:dyDescent="0.25">
      <c r="A36" s="289"/>
      <c r="B36" s="294"/>
      <c r="C36" s="273"/>
      <c r="D36" s="251"/>
      <c r="E36" s="260"/>
      <c r="F36" s="260"/>
      <c r="G36" s="260"/>
      <c r="H36" s="260"/>
      <c r="I36" s="263"/>
      <c r="J36" s="260"/>
      <c r="K36" s="260"/>
      <c r="L36" s="260"/>
      <c r="M36" s="260"/>
      <c r="N36" s="260"/>
      <c r="O36" s="263"/>
      <c r="P36" s="260"/>
      <c r="Q36" s="260"/>
      <c r="R36" s="260"/>
      <c r="S36" s="260"/>
      <c r="T36" s="260"/>
      <c r="U36" s="260"/>
      <c r="V36" s="260"/>
      <c r="W36" s="260"/>
      <c r="X36" s="260"/>
      <c r="Y36" s="260"/>
      <c r="Z36" s="260"/>
      <c r="AA36" s="260"/>
      <c r="AB36" s="260"/>
      <c r="AC36" s="260"/>
      <c r="AD36" s="260"/>
      <c r="AE36" s="260"/>
      <c r="AF36" s="260"/>
      <c r="AG36" s="260"/>
      <c r="AH36" s="260"/>
    </row>
    <row r="37" spans="1:34" ht="10.8" thickBot="1" x14ac:dyDescent="0.25">
      <c r="A37" s="289"/>
      <c r="B37" s="294"/>
      <c r="C37" s="273" t="s">
        <v>11</v>
      </c>
      <c r="D37" s="251" t="s">
        <v>78</v>
      </c>
      <c r="E37" s="260">
        <v>0</v>
      </c>
      <c r="F37" s="260">
        <v>0</v>
      </c>
      <c r="G37" s="260">
        <v>0</v>
      </c>
      <c r="H37" s="260">
        <v>0</v>
      </c>
      <c r="I37" s="261"/>
      <c r="J37" s="260">
        <v>0</v>
      </c>
      <c r="K37" s="260">
        <v>0</v>
      </c>
      <c r="L37" s="260">
        <v>0</v>
      </c>
      <c r="M37" s="260">
        <v>0</v>
      </c>
      <c r="N37" s="260">
        <v>0</v>
      </c>
      <c r="O37" s="263"/>
      <c r="P37" s="260">
        <v>0</v>
      </c>
      <c r="Q37" s="260">
        <v>0</v>
      </c>
      <c r="R37" s="260">
        <v>0</v>
      </c>
      <c r="S37" s="260">
        <v>0</v>
      </c>
      <c r="T37" s="260">
        <v>0</v>
      </c>
      <c r="U37" s="260"/>
      <c r="V37" s="260">
        <v>0</v>
      </c>
      <c r="W37" s="260">
        <v>0</v>
      </c>
      <c r="X37" s="260">
        <v>0</v>
      </c>
      <c r="Y37" s="260">
        <v>0</v>
      </c>
      <c r="Z37" s="260">
        <v>0</v>
      </c>
      <c r="AA37" s="260"/>
      <c r="AB37" s="260">
        <v>0</v>
      </c>
      <c r="AC37" s="260">
        <v>0</v>
      </c>
      <c r="AD37" s="260">
        <v>0</v>
      </c>
      <c r="AE37" s="260">
        <v>0</v>
      </c>
      <c r="AF37" s="260">
        <v>0</v>
      </c>
      <c r="AG37" s="260"/>
      <c r="AH37" s="260">
        <v>0</v>
      </c>
    </row>
    <row r="38" spans="1:34" ht="10.8" thickBot="1" x14ac:dyDescent="0.25">
      <c r="A38" s="289"/>
      <c r="B38" s="294"/>
      <c r="C38" s="273"/>
      <c r="D38" s="251"/>
      <c r="E38" s="260"/>
      <c r="F38" s="260"/>
      <c r="G38" s="260"/>
      <c r="H38" s="260"/>
      <c r="I38" s="262"/>
      <c r="J38" s="260"/>
      <c r="K38" s="260"/>
      <c r="L38" s="260"/>
      <c r="M38" s="260"/>
      <c r="N38" s="260"/>
      <c r="O38" s="263"/>
      <c r="P38" s="260"/>
      <c r="Q38" s="260"/>
      <c r="R38" s="260"/>
      <c r="S38" s="260"/>
      <c r="T38" s="260"/>
      <c r="U38" s="260"/>
      <c r="V38" s="260"/>
      <c r="W38" s="260"/>
      <c r="X38" s="260"/>
      <c r="Y38" s="260"/>
      <c r="Z38" s="260"/>
      <c r="AA38" s="260"/>
      <c r="AB38" s="260"/>
      <c r="AC38" s="260"/>
      <c r="AD38" s="260"/>
      <c r="AE38" s="260"/>
      <c r="AF38" s="260"/>
      <c r="AG38" s="260"/>
      <c r="AH38" s="260"/>
    </row>
    <row r="39" spans="1:34" x14ac:dyDescent="0.2">
      <c r="A39" s="17">
        <v>1.2</v>
      </c>
      <c r="B39" s="274" t="s">
        <v>12</v>
      </c>
      <c r="C39" s="307"/>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2"/>
    </row>
    <row r="40" spans="1:34" x14ac:dyDescent="0.2">
      <c r="A40" s="289"/>
      <c r="B40" s="284" t="s">
        <v>39</v>
      </c>
      <c r="C40" s="284" t="s">
        <v>6</v>
      </c>
      <c r="D40" s="251" t="s">
        <v>78</v>
      </c>
      <c r="E40" s="252">
        <v>1</v>
      </c>
      <c r="F40" s="252">
        <v>1</v>
      </c>
      <c r="G40" s="252">
        <v>1</v>
      </c>
      <c r="H40" s="252">
        <v>1</v>
      </c>
      <c r="I40" s="251"/>
      <c r="J40" s="252">
        <v>1</v>
      </c>
      <c r="K40" s="252">
        <v>1</v>
      </c>
      <c r="L40" s="252">
        <v>1</v>
      </c>
      <c r="M40" s="252">
        <v>1</v>
      </c>
      <c r="N40" s="252">
        <v>1</v>
      </c>
      <c r="O40" s="19"/>
      <c r="P40" s="252">
        <v>1</v>
      </c>
      <c r="Q40" s="252">
        <v>1</v>
      </c>
      <c r="R40" s="252">
        <v>1</v>
      </c>
      <c r="S40" s="252">
        <v>1</v>
      </c>
      <c r="T40" s="252">
        <v>1</v>
      </c>
      <c r="U40" s="19"/>
      <c r="V40" s="252">
        <v>1</v>
      </c>
      <c r="W40" s="252">
        <v>1</v>
      </c>
      <c r="X40" s="252">
        <v>1</v>
      </c>
      <c r="Y40" s="252">
        <v>1</v>
      </c>
      <c r="Z40" s="252">
        <v>1</v>
      </c>
      <c r="AA40" s="19"/>
      <c r="AB40" s="252">
        <v>1</v>
      </c>
      <c r="AC40" s="252">
        <v>1</v>
      </c>
      <c r="AD40" s="252">
        <v>1</v>
      </c>
      <c r="AE40" s="252">
        <v>1</v>
      </c>
      <c r="AF40" s="252">
        <v>1</v>
      </c>
      <c r="AG40" s="19"/>
      <c r="AH40" s="252">
        <v>1</v>
      </c>
    </row>
    <row r="41" spans="1:34" x14ac:dyDescent="0.2">
      <c r="A41" s="289"/>
      <c r="B41" s="284"/>
      <c r="C41" s="284"/>
      <c r="D41" s="251"/>
      <c r="E41" s="252"/>
      <c r="F41" s="252"/>
      <c r="G41" s="252"/>
      <c r="H41" s="252"/>
      <c r="I41" s="251"/>
      <c r="J41" s="252"/>
      <c r="K41" s="252"/>
      <c r="L41" s="252"/>
      <c r="M41" s="252"/>
      <c r="N41" s="252"/>
      <c r="O41" s="19"/>
      <c r="P41" s="252"/>
      <c r="Q41" s="252"/>
      <c r="R41" s="252"/>
      <c r="S41" s="252"/>
      <c r="T41" s="252"/>
      <c r="U41" s="19"/>
      <c r="V41" s="252"/>
      <c r="W41" s="252"/>
      <c r="X41" s="252"/>
      <c r="Y41" s="252"/>
      <c r="Z41" s="252"/>
      <c r="AA41" s="19"/>
      <c r="AB41" s="252"/>
      <c r="AC41" s="252"/>
      <c r="AD41" s="252"/>
      <c r="AE41" s="252"/>
      <c r="AF41" s="252"/>
      <c r="AG41" s="19"/>
      <c r="AH41" s="252"/>
    </row>
    <row r="42" spans="1:34" x14ac:dyDescent="0.2">
      <c r="A42" s="289"/>
      <c r="B42" s="284"/>
      <c r="C42" s="284" t="s">
        <v>7</v>
      </c>
      <c r="D42" s="251" t="s">
        <v>78</v>
      </c>
      <c r="E42" s="252">
        <v>1</v>
      </c>
      <c r="F42" s="252">
        <v>1</v>
      </c>
      <c r="G42" s="252">
        <v>1</v>
      </c>
      <c r="H42" s="252">
        <v>1</v>
      </c>
      <c r="I42" s="251"/>
      <c r="J42" s="252">
        <v>1</v>
      </c>
      <c r="K42" s="252">
        <v>1</v>
      </c>
      <c r="L42" s="252">
        <v>1</v>
      </c>
      <c r="M42" s="252">
        <v>1</v>
      </c>
      <c r="N42" s="252">
        <v>1</v>
      </c>
      <c r="O42" s="19"/>
      <c r="P42" s="252">
        <v>1</v>
      </c>
      <c r="Q42" s="252">
        <v>1</v>
      </c>
      <c r="R42" s="252">
        <v>1</v>
      </c>
      <c r="S42" s="252">
        <v>1</v>
      </c>
      <c r="T42" s="252">
        <v>1</v>
      </c>
      <c r="U42" s="19"/>
      <c r="V42" s="252">
        <v>1</v>
      </c>
      <c r="W42" s="252">
        <v>1</v>
      </c>
      <c r="X42" s="252">
        <v>1</v>
      </c>
      <c r="Y42" s="252">
        <v>1</v>
      </c>
      <c r="Z42" s="252">
        <v>1</v>
      </c>
      <c r="AA42" s="19"/>
      <c r="AB42" s="252">
        <v>1</v>
      </c>
      <c r="AC42" s="252">
        <v>1</v>
      </c>
      <c r="AD42" s="252">
        <v>1</v>
      </c>
      <c r="AE42" s="252">
        <v>1</v>
      </c>
      <c r="AF42" s="252">
        <v>1</v>
      </c>
      <c r="AG42" s="19"/>
      <c r="AH42" s="252">
        <v>1</v>
      </c>
    </row>
    <row r="43" spans="1:34" x14ac:dyDescent="0.2">
      <c r="A43" s="289"/>
      <c r="B43" s="284"/>
      <c r="C43" s="284"/>
      <c r="D43" s="251"/>
      <c r="E43" s="252"/>
      <c r="F43" s="252"/>
      <c r="G43" s="252"/>
      <c r="H43" s="252"/>
      <c r="I43" s="251"/>
      <c r="J43" s="252"/>
      <c r="K43" s="252"/>
      <c r="L43" s="252"/>
      <c r="M43" s="252"/>
      <c r="N43" s="252"/>
      <c r="O43" s="19"/>
      <c r="P43" s="252"/>
      <c r="Q43" s="252"/>
      <c r="R43" s="252"/>
      <c r="S43" s="252"/>
      <c r="T43" s="252"/>
      <c r="U43" s="19"/>
      <c r="V43" s="252"/>
      <c r="W43" s="252"/>
      <c r="X43" s="252"/>
      <c r="Y43" s="252"/>
      <c r="Z43" s="252"/>
      <c r="AA43" s="19"/>
      <c r="AB43" s="252"/>
      <c r="AC43" s="252"/>
      <c r="AD43" s="252"/>
      <c r="AE43" s="252"/>
      <c r="AF43" s="252"/>
      <c r="AG43" s="19"/>
      <c r="AH43" s="252"/>
    </row>
    <row r="44" spans="1:34" x14ac:dyDescent="0.2">
      <c r="A44" s="289"/>
      <c r="B44" s="284"/>
      <c r="C44" s="284" t="s">
        <v>8</v>
      </c>
      <c r="D44" s="251" t="s">
        <v>78</v>
      </c>
      <c r="E44" s="252">
        <v>1</v>
      </c>
      <c r="F44" s="252">
        <v>1</v>
      </c>
      <c r="G44" s="252">
        <v>1</v>
      </c>
      <c r="H44" s="252">
        <v>1</v>
      </c>
      <c r="I44" s="251"/>
      <c r="J44" s="252">
        <v>1</v>
      </c>
      <c r="K44" s="252">
        <v>1</v>
      </c>
      <c r="L44" s="252">
        <v>1</v>
      </c>
      <c r="M44" s="252">
        <v>1</v>
      </c>
      <c r="N44" s="252">
        <v>1</v>
      </c>
      <c r="O44" s="19"/>
      <c r="P44" s="252">
        <v>1</v>
      </c>
      <c r="Q44" s="252">
        <v>1</v>
      </c>
      <c r="R44" s="252">
        <v>1</v>
      </c>
      <c r="S44" s="252">
        <v>1</v>
      </c>
      <c r="T44" s="252">
        <v>1</v>
      </c>
      <c r="U44" s="19"/>
      <c r="V44" s="252">
        <v>1</v>
      </c>
      <c r="W44" s="252">
        <v>1</v>
      </c>
      <c r="X44" s="252">
        <v>1</v>
      </c>
      <c r="Y44" s="252">
        <v>1</v>
      </c>
      <c r="Z44" s="252">
        <v>1</v>
      </c>
      <c r="AA44" s="19"/>
      <c r="AB44" s="252">
        <v>1</v>
      </c>
      <c r="AC44" s="252">
        <v>1</v>
      </c>
      <c r="AD44" s="252">
        <v>1</v>
      </c>
      <c r="AE44" s="252">
        <v>1</v>
      </c>
      <c r="AF44" s="252">
        <v>1</v>
      </c>
      <c r="AG44" s="19"/>
      <c r="AH44" s="252">
        <v>1</v>
      </c>
    </row>
    <row r="45" spans="1:34" x14ac:dyDescent="0.2">
      <c r="A45" s="289"/>
      <c r="B45" s="284"/>
      <c r="C45" s="284"/>
      <c r="D45" s="251"/>
      <c r="E45" s="252"/>
      <c r="F45" s="252"/>
      <c r="G45" s="252"/>
      <c r="H45" s="252"/>
      <c r="I45" s="251"/>
      <c r="J45" s="252"/>
      <c r="K45" s="252"/>
      <c r="L45" s="252"/>
      <c r="M45" s="252"/>
      <c r="N45" s="252"/>
      <c r="O45" s="19"/>
      <c r="P45" s="252"/>
      <c r="Q45" s="252"/>
      <c r="R45" s="252"/>
      <c r="S45" s="252"/>
      <c r="T45" s="252"/>
      <c r="U45" s="19"/>
      <c r="V45" s="252"/>
      <c r="W45" s="252"/>
      <c r="X45" s="252"/>
      <c r="Y45" s="252"/>
      <c r="Z45" s="252"/>
      <c r="AA45" s="19"/>
      <c r="AB45" s="252"/>
      <c r="AC45" s="252"/>
      <c r="AD45" s="252"/>
      <c r="AE45" s="252"/>
      <c r="AF45" s="252"/>
      <c r="AG45" s="19"/>
      <c r="AH45" s="252"/>
    </row>
    <row r="46" spans="1:34" x14ac:dyDescent="0.2">
      <c r="A46" s="289"/>
      <c r="B46" s="284" t="s">
        <v>0</v>
      </c>
      <c r="C46" s="284" t="s">
        <v>6</v>
      </c>
      <c r="D46" s="251" t="s">
        <v>78</v>
      </c>
      <c r="E46" s="252">
        <v>1</v>
      </c>
      <c r="F46" s="252">
        <v>1</v>
      </c>
      <c r="G46" s="252">
        <v>1</v>
      </c>
      <c r="H46" s="252">
        <v>1</v>
      </c>
      <c r="I46" s="251"/>
      <c r="J46" s="252">
        <v>1</v>
      </c>
      <c r="K46" s="252">
        <v>1</v>
      </c>
      <c r="L46" s="252">
        <v>1</v>
      </c>
      <c r="M46" s="252">
        <v>1</v>
      </c>
      <c r="N46" s="252">
        <v>1</v>
      </c>
      <c r="O46" s="19"/>
      <c r="P46" s="252">
        <v>1</v>
      </c>
      <c r="Q46" s="252">
        <v>1</v>
      </c>
      <c r="R46" s="252">
        <v>1</v>
      </c>
      <c r="S46" s="252">
        <v>1</v>
      </c>
      <c r="T46" s="252">
        <v>1</v>
      </c>
      <c r="U46" s="19"/>
      <c r="V46" s="252">
        <v>1</v>
      </c>
      <c r="W46" s="252">
        <v>1</v>
      </c>
      <c r="X46" s="252">
        <v>1</v>
      </c>
      <c r="Y46" s="252">
        <v>1</v>
      </c>
      <c r="Z46" s="252">
        <v>1</v>
      </c>
      <c r="AA46" s="19"/>
      <c r="AB46" s="252">
        <v>1</v>
      </c>
      <c r="AC46" s="252">
        <v>1</v>
      </c>
      <c r="AD46" s="252">
        <v>1</v>
      </c>
      <c r="AE46" s="252">
        <v>1</v>
      </c>
      <c r="AF46" s="252">
        <v>1</v>
      </c>
      <c r="AG46" s="19"/>
      <c r="AH46" s="252">
        <v>1</v>
      </c>
    </row>
    <row r="47" spans="1:34" x14ac:dyDescent="0.2">
      <c r="A47" s="289"/>
      <c r="B47" s="284"/>
      <c r="C47" s="284"/>
      <c r="D47" s="251"/>
      <c r="E47" s="252"/>
      <c r="F47" s="252"/>
      <c r="G47" s="252"/>
      <c r="H47" s="252"/>
      <c r="I47" s="251"/>
      <c r="J47" s="252"/>
      <c r="K47" s="252"/>
      <c r="L47" s="252"/>
      <c r="M47" s="252"/>
      <c r="N47" s="252"/>
      <c r="O47" s="19"/>
      <c r="P47" s="252"/>
      <c r="Q47" s="252"/>
      <c r="R47" s="252"/>
      <c r="S47" s="252"/>
      <c r="T47" s="252"/>
      <c r="U47" s="19"/>
      <c r="V47" s="252"/>
      <c r="W47" s="252"/>
      <c r="X47" s="252"/>
      <c r="Y47" s="252"/>
      <c r="Z47" s="252"/>
      <c r="AA47" s="19"/>
      <c r="AB47" s="252"/>
      <c r="AC47" s="252"/>
      <c r="AD47" s="252"/>
      <c r="AE47" s="252"/>
      <c r="AF47" s="252"/>
      <c r="AG47" s="19"/>
      <c r="AH47" s="252"/>
    </row>
    <row r="48" spans="1:34" x14ac:dyDescent="0.2">
      <c r="A48" s="289"/>
      <c r="B48" s="284"/>
      <c r="C48" s="284" t="s">
        <v>7</v>
      </c>
      <c r="D48" s="251" t="s">
        <v>78</v>
      </c>
      <c r="E48" s="252">
        <v>1</v>
      </c>
      <c r="F48" s="252">
        <v>1</v>
      </c>
      <c r="G48" s="252">
        <v>1</v>
      </c>
      <c r="H48" s="252">
        <v>1</v>
      </c>
      <c r="I48" s="251"/>
      <c r="J48" s="252">
        <v>1</v>
      </c>
      <c r="K48" s="252">
        <v>1</v>
      </c>
      <c r="L48" s="252">
        <v>1</v>
      </c>
      <c r="M48" s="252">
        <v>1</v>
      </c>
      <c r="N48" s="252">
        <v>1</v>
      </c>
      <c r="O48" s="19"/>
      <c r="P48" s="252">
        <v>1</v>
      </c>
      <c r="Q48" s="252">
        <v>1</v>
      </c>
      <c r="R48" s="252">
        <v>1</v>
      </c>
      <c r="S48" s="252">
        <v>1</v>
      </c>
      <c r="T48" s="252">
        <v>1</v>
      </c>
      <c r="U48" s="19"/>
      <c r="V48" s="252">
        <v>1</v>
      </c>
      <c r="W48" s="252">
        <v>1</v>
      </c>
      <c r="X48" s="252">
        <v>1</v>
      </c>
      <c r="Y48" s="252">
        <v>1</v>
      </c>
      <c r="Z48" s="252">
        <v>1</v>
      </c>
      <c r="AA48" s="19"/>
      <c r="AB48" s="252">
        <v>1</v>
      </c>
      <c r="AC48" s="252">
        <v>1</v>
      </c>
      <c r="AD48" s="252">
        <v>1</v>
      </c>
      <c r="AE48" s="252">
        <v>1</v>
      </c>
      <c r="AF48" s="252">
        <v>1</v>
      </c>
      <c r="AG48" s="19"/>
      <c r="AH48" s="252">
        <v>1</v>
      </c>
    </row>
    <row r="49" spans="1:34" x14ac:dyDescent="0.2">
      <c r="A49" s="289"/>
      <c r="B49" s="284"/>
      <c r="C49" s="284"/>
      <c r="D49" s="251"/>
      <c r="E49" s="252"/>
      <c r="F49" s="252"/>
      <c r="G49" s="252"/>
      <c r="H49" s="252"/>
      <c r="I49" s="251"/>
      <c r="J49" s="252"/>
      <c r="K49" s="252"/>
      <c r="L49" s="252"/>
      <c r="M49" s="252"/>
      <c r="N49" s="252"/>
      <c r="O49" s="19"/>
      <c r="P49" s="252"/>
      <c r="Q49" s="252"/>
      <c r="R49" s="252"/>
      <c r="S49" s="252"/>
      <c r="T49" s="252"/>
      <c r="U49" s="19"/>
      <c r="V49" s="252"/>
      <c r="W49" s="252"/>
      <c r="X49" s="252"/>
      <c r="Y49" s="252"/>
      <c r="Z49" s="252"/>
      <c r="AA49" s="19"/>
      <c r="AB49" s="252"/>
      <c r="AC49" s="252"/>
      <c r="AD49" s="252"/>
      <c r="AE49" s="252"/>
      <c r="AF49" s="252"/>
      <c r="AG49" s="19"/>
      <c r="AH49" s="252"/>
    </row>
    <row r="50" spans="1:34" x14ac:dyDescent="0.2">
      <c r="A50" s="289"/>
      <c r="B50" s="284"/>
      <c r="C50" s="284" t="s">
        <v>8</v>
      </c>
      <c r="D50" s="251" t="s">
        <v>78</v>
      </c>
      <c r="E50" s="252">
        <v>1</v>
      </c>
      <c r="F50" s="252">
        <v>1</v>
      </c>
      <c r="G50" s="252">
        <v>1</v>
      </c>
      <c r="H50" s="252">
        <v>1</v>
      </c>
      <c r="I50" s="251"/>
      <c r="J50" s="252">
        <v>1</v>
      </c>
      <c r="K50" s="252">
        <v>1</v>
      </c>
      <c r="L50" s="252">
        <v>1</v>
      </c>
      <c r="M50" s="252">
        <v>1</v>
      </c>
      <c r="N50" s="252">
        <v>1</v>
      </c>
      <c r="O50" s="19"/>
      <c r="P50" s="252">
        <v>1</v>
      </c>
      <c r="Q50" s="252">
        <v>1</v>
      </c>
      <c r="R50" s="252">
        <v>1</v>
      </c>
      <c r="S50" s="252">
        <v>1</v>
      </c>
      <c r="T50" s="252">
        <v>1</v>
      </c>
      <c r="U50" s="19"/>
      <c r="V50" s="252">
        <v>1</v>
      </c>
      <c r="W50" s="252">
        <v>1</v>
      </c>
      <c r="X50" s="252">
        <v>1</v>
      </c>
      <c r="Y50" s="252">
        <v>1</v>
      </c>
      <c r="Z50" s="252">
        <v>1</v>
      </c>
      <c r="AA50" s="19"/>
      <c r="AB50" s="252">
        <v>1</v>
      </c>
      <c r="AC50" s="252">
        <v>1</v>
      </c>
      <c r="AD50" s="252">
        <v>1</v>
      </c>
      <c r="AE50" s="252">
        <v>1</v>
      </c>
      <c r="AF50" s="252">
        <v>1</v>
      </c>
      <c r="AG50" s="19"/>
      <c r="AH50" s="252">
        <v>1</v>
      </c>
    </row>
    <row r="51" spans="1:34" x14ac:dyDescent="0.2">
      <c r="A51" s="289"/>
      <c r="B51" s="284"/>
      <c r="C51" s="284"/>
      <c r="D51" s="251"/>
      <c r="E51" s="252"/>
      <c r="F51" s="252"/>
      <c r="G51" s="252"/>
      <c r="H51" s="252"/>
      <c r="I51" s="251"/>
      <c r="J51" s="252"/>
      <c r="K51" s="252"/>
      <c r="L51" s="252"/>
      <c r="M51" s="252"/>
      <c r="N51" s="252"/>
      <c r="O51" s="19"/>
      <c r="P51" s="252"/>
      <c r="Q51" s="252"/>
      <c r="R51" s="252"/>
      <c r="S51" s="252"/>
      <c r="T51" s="252"/>
      <c r="U51" s="19"/>
      <c r="V51" s="252"/>
      <c r="W51" s="252"/>
      <c r="X51" s="252"/>
      <c r="Y51" s="252"/>
      <c r="Z51" s="252"/>
      <c r="AA51" s="19"/>
      <c r="AB51" s="252"/>
      <c r="AC51" s="252"/>
      <c r="AD51" s="252"/>
      <c r="AE51" s="252"/>
      <c r="AF51" s="252"/>
      <c r="AG51" s="19"/>
      <c r="AH51" s="252"/>
    </row>
    <row r="52" spans="1:34" x14ac:dyDescent="0.2">
      <c r="A52" s="289"/>
      <c r="B52" s="284" t="s">
        <v>40</v>
      </c>
      <c r="C52" s="450" t="s">
        <v>6</v>
      </c>
      <c r="D52" s="251" t="s">
        <v>78</v>
      </c>
      <c r="E52" s="252">
        <v>1</v>
      </c>
      <c r="F52" s="252">
        <v>1</v>
      </c>
      <c r="G52" s="252">
        <v>1</v>
      </c>
      <c r="H52" s="252">
        <v>1</v>
      </c>
      <c r="I52" s="251"/>
      <c r="J52" s="252">
        <v>1</v>
      </c>
      <c r="K52" s="252">
        <v>1</v>
      </c>
      <c r="L52" s="252">
        <v>1</v>
      </c>
      <c r="M52" s="252">
        <v>1</v>
      </c>
      <c r="N52" s="252">
        <v>1</v>
      </c>
      <c r="O52" s="19"/>
      <c r="P52" s="252">
        <v>1</v>
      </c>
      <c r="Q52" s="252">
        <v>1</v>
      </c>
      <c r="R52" s="252">
        <v>1</v>
      </c>
      <c r="S52" s="252">
        <v>1</v>
      </c>
      <c r="T52" s="252">
        <v>1</v>
      </c>
      <c r="U52" s="19"/>
      <c r="V52" s="252">
        <v>1</v>
      </c>
      <c r="W52" s="252">
        <v>1</v>
      </c>
      <c r="X52" s="252">
        <v>1</v>
      </c>
      <c r="Y52" s="252">
        <v>1</v>
      </c>
      <c r="Z52" s="252">
        <v>1</v>
      </c>
      <c r="AA52" s="19"/>
      <c r="AB52" s="252">
        <v>1</v>
      </c>
      <c r="AC52" s="252">
        <v>1</v>
      </c>
      <c r="AD52" s="252">
        <v>1</v>
      </c>
      <c r="AE52" s="252">
        <v>1</v>
      </c>
      <c r="AF52" s="252">
        <v>1</v>
      </c>
      <c r="AG52" s="19"/>
      <c r="AH52" s="252">
        <v>1</v>
      </c>
    </row>
    <row r="53" spans="1:34" x14ac:dyDescent="0.2">
      <c r="A53" s="289"/>
      <c r="B53" s="284"/>
      <c r="C53" s="450"/>
      <c r="D53" s="251"/>
      <c r="E53" s="252"/>
      <c r="F53" s="252"/>
      <c r="G53" s="252"/>
      <c r="H53" s="252"/>
      <c r="I53" s="251"/>
      <c r="J53" s="252"/>
      <c r="K53" s="252"/>
      <c r="L53" s="252"/>
      <c r="M53" s="252"/>
      <c r="N53" s="252"/>
      <c r="O53" s="19"/>
      <c r="P53" s="252"/>
      <c r="Q53" s="252"/>
      <c r="R53" s="252"/>
      <c r="S53" s="252"/>
      <c r="T53" s="252"/>
      <c r="U53" s="19"/>
      <c r="V53" s="252"/>
      <c r="W53" s="252"/>
      <c r="X53" s="252"/>
      <c r="Y53" s="252"/>
      <c r="Z53" s="252"/>
      <c r="AA53" s="19"/>
      <c r="AB53" s="252"/>
      <c r="AC53" s="252"/>
      <c r="AD53" s="252"/>
      <c r="AE53" s="252"/>
      <c r="AF53" s="252"/>
      <c r="AG53" s="19"/>
      <c r="AH53" s="252"/>
    </row>
    <row r="54" spans="1:34" x14ac:dyDescent="0.2">
      <c r="A54" s="289"/>
      <c r="B54" s="284"/>
      <c r="C54" s="450" t="s">
        <v>7</v>
      </c>
      <c r="D54" s="251" t="s">
        <v>78</v>
      </c>
      <c r="E54" s="252">
        <v>1</v>
      </c>
      <c r="F54" s="252">
        <v>1</v>
      </c>
      <c r="G54" s="252">
        <v>1</v>
      </c>
      <c r="H54" s="252">
        <v>1</v>
      </c>
      <c r="I54" s="251"/>
      <c r="J54" s="252">
        <v>1</v>
      </c>
      <c r="K54" s="252">
        <v>1</v>
      </c>
      <c r="L54" s="252">
        <v>1</v>
      </c>
      <c r="M54" s="252">
        <v>1</v>
      </c>
      <c r="N54" s="252">
        <v>1</v>
      </c>
      <c r="O54" s="19"/>
      <c r="P54" s="252">
        <v>1</v>
      </c>
      <c r="Q54" s="252">
        <v>1</v>
      </c>
      <c r="R54" s="252">
        <v>1</v>
      </c>
      <c r="S54" s="252">
        <v>1</v>
      </c>
      <c r="T54" s="252">
        <v>1</v>
      </c>
      <c r="U54" s="19"/>
      <c r="V54" s="252">
        <v>1</v>
      </c>
      <c r="W54" s="252">
        <v>1</v>
      </c>
      <c r="X54" s="252">
        <v>1</v>
      </c>
      <c r="Y54" s="252">
        <v>1</v>
      </c>
      <c r="Z54" s="252">
        <v>1</v>
      </c>
      <c r="AA54" s="19"/>
      <c r="AB54" s="252">
        <v>1</v>
      </c>
      <c r="AC54" s="252">
        <v>1</v>
      </c>
      <c r="AD54" s="252">
        <v>1</v>
      </c>
      <c r="AE54" s="252">
        <v>1</v>
      </c>
      <c r="AF54" s="252">
        <v>1</v>
      </c>
      <c r="AG54" s="19"/>
      <c r="AH54" s="252">
        <v>1</v>
      </c>
    </row>
    <row r="55" spans="1:34" x14ac:dyDescent="0.2">
      <c r="A55" s="289"/>
      <c r="B55" s="284"/>
      <c r="C55" s="450"/>
      <c r="D55" s="251"/>
      <c r="E55" s="252"/>
      <c r="F55" s="252"/>
      <c r="G55" s="252"/>
      <c r="H55" s="252"/>
      <c r="I55" s="251"/>
      <c r="J55" s="252"/>
      <c r="K55" s="252"/>
      <c r="L55" s="252"/>
      <c r="M55" s="252"/>
      <c r="N55" s="252"/>
      <c r="O55" s="19"/>
      <c r="P55" s="252"/>
      <c r="Q55" s="252"/>
      <c r="R55" s="252"/>
      <c r="S55" s="252"/>
      <c r="T55" s="252"/>
      <c r="U55" s="19"/>
      <c r="V55" s="252"/>
      <c r="W55" s="252"/>
      <c r="X55" s="252"/>
      <c r="Y55" s="252"/>
      <c r="Z55" s="252"/>
      <c r="AA55" s="19"/>
      <c r="AB55" s="252"/>
      <c r="AC55" s="252"/>
      <c r="AD55" s="252"/>
      <c r="AE55" s="252"/>
      <c r="AF55" s="252"/>
      <c r="AG55" s="19"/>
      <c r="AH55" s="252"/>
    </row>
    <row r="56" spans="1:34" x14ac:dyDescent="0.2">
      <c r="A56" s="289"/>
      <c r="B56" s="284"/>
      <c r="C56" s="450" t="s">
        <v>8</v>
      </c>
      <c r="D56" s="251" t="s">
        <v>78</v>
      </c>
      <c r="E56" s="252">
        <v>1</v>
      </c>
      <c r="F56" s="252">
        <v>1</v>
      </c>
      <c r="G56" s="252">
        <v>1</v>
      </c>
      <c r="H56" s="252">
        <v>1</v>
      </c>
      <c r="I56" s="251"/>
      <c r="J56" s="252">
        <v>1</v>
      </c>
      <c r="K56" s="252">
        <v>1</v>
      </c>
      <c r="L56" s="252">
        <v>1</v>
      </c>
      <c r="M56" s="252">
        <v>1</v>
      </c>
      <c r="N56" s="252">
        <v>1</v>
      </c>
      <c r="O56" s="19"/>
      <c r="P56" s="252">
        <v>1</v>
      </c>
      <c r="Q56" s="252">
        <v>1</v>
      </c>
      <c r="R56" s="252">
        <v>1</v>
      </c>
      <c r="S56" s="252">
        <v>1</v>
      </c>
      <c r="T56" s="252">
        <v>1</v>
      </c>
      <c r="U56" s="19"/>
      <c r="V56" s="252">
        <v>1</v>
      </c>
      <c r="W56" s="252">
        <v>1</v>
      </c>
      <c r="X56" s="252">
        <v>1</v>
      </c>
      <c r="Y56" s="252">
        <v>1</v>
      </c>
      <c r="Z56" s="252">
        <v>1</v>
      </c>
      <c r="AA56" s="19"/>
      <c r="AB56" s="252">
        <v>1</v>
      </c>
      <c r="AC56" s="252">
        <v>1</v>
      </c>
      <c r="AD56" s="252">
        <v>1</v>
      </c>
      <c r="AE56" s="252">
        <v>1</v>
      </c>
      <c r="AF56" s="252">
        <v>1</v>
      </c>
      <c r="AG56" s="19"/>
      <c r="AH56" s="252">
        <v>1</v>
      </c>
    </row>
    <row r="57" spans="1:34" x14ac:dyDescent="0.2">
      <c r="A57" s="289"/>
      <c r="B57" s="284"/>
      <c r="C57" s="450"/>
      <c r="D57" s="251"/>
      <c r="E57" s="252"/>
      <c r="F57" s="252"/>
      <c r="G57" s="252"/>
      <c r="H57" s="252"/>
      <c r="I57" s="251"/>
      <c r="J57" s="252"/>
      <c r="K57" s="252"/>
      <c r="L57" s="252"/>
      <c r="M57" s="252"/>
      <c r="N57" s="252"/>
      <c r="O57" s="19"/>
      <c r="P57" s="252"/>
      <c r="Q57" s="252"/>
      <c r="R57" s="252"/>
      <c r="S57" s="252"/>
      <c r="T57" s="252"/>
      <c r="U57" s="19"/>
      <c r="V57" s="252"/>
      <c r="W57" s="252"/>
      <c r="X57" s="252"/>
      <c r="Y57" s="252"/>
      <c r="Z57" s="252"/>
      <c r="AA57" s="19"/>
      <c r="AB57" s="252"/>
      <c r="AC57" s="252"/>
      <c r="AD57" s="252"/>
      <c r="AE57" s="252"/>
      <c r="AF57" s="252"/>
      <c r="AG57" s="19"/>
      <c r="AH57" s="252"/>
    </row>
    <row r="58" spans="1:34" x14ac:dyDescent="0.2">
      <c r="A58" s="17">
        <v>1.3</v>
      </c>
      <c r="B58" s="274" t="s">
        <v>13</v>
      </c>
      <c r="C58" s="307"/>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2"/>
    </row>
    <row r="59" spans="1:34" x14ac:dyDescent="0.2">
      <c r="A59" s="289"/>
      <c r="B59" s="284" t="s">
        <v>77</v>
      </c>
      <c r="C59" s="284"/>
      <c r="D59" s="251" t="s">
        <v>78</v>
      </c>
      <c r="E59" s="252">
        <v>1</v>
      </c>
      <c r="F59" s="252">
        <v>1</v>
      </c>
      <c r="G59" s="252">
        <v>1</v>
      </c>
      <c r="H59" s="252">
        <v>1</v>
      </c>
      <c r="I59" s="251"/>
      <c r="J59" s="252">
        <v>1</v>
      </c>
      <c r="K59" s="252">
        <v>1</v>
      </c>
      <c r="L59" s="252">
        <v>1</v>
      </c>
      <c r="M59" s="252">
        <v>1</v>
      </c>
      <c r="N59" s="252">
        <v>1</v>
      </c>
      <c r="O59" s="19"/>
      <c r="P59" s="252">
        <v>1</v>
      </c>
      <c r="Q59" s="252">
        <v>1</v>
      </c>
      <c r="R59" s="252">
        <v>1</v>
      </c>
      <c r="S59" s="252">
        <v>1</v>
      </c>
      <c r="T59" s="252">
        <v>1</v>
      </c>
      <c r="U59" s="19"/>
      <c r="V59" s="252">
        <v>1</v>
      </c>
      <c r="W59" s="252">
        <v>1</v>
      </c>
      <c r="X59" s="252">
        <v>1</v>
      </c>
      <c r="Y59" s="252">
        <v>1</v>
      </c>
      <c r="Z59" s="252">
        <v>1</v>
      </c>
      <c r="AA59" s="19"/>
      <c r="AB59" s="252">
        <v>1</v>
      </c>
      <c r="AC59" s="252">
        <v>1</v>
      </c>
      <c r="AD59" s="252">
        <v>1</v>
      </c>
      <c r="AE59" s="252">
        <v>1</v>
      </c>
      <c r="AF59" s="252">
        <v>1</v>
      </c>
      <c r="AG59" s="19"/>
      <c r="AH59" s="252">
        <v>1</v>
      </c>
    </row>
    <row r="60" spans="1:34" x14ac:dyDescent="0.2">
      <c r="A60" s="289"/>
      <c r="B60" s="284"/>
      <c r="C60" s="284"/>
      <c r="D60" s="251"/>
      <c r="E60" s="252"/>
      <c r="F60" s="252"/>
      <c r="G60" s="252"/>
      <c r="H60" s="252"/>
      <c r="I60" s="251">
        <f>E60+F60+G60+H60</f>
        <v>0</v>
      </c>
      <c r="J60" s="252"/>
      <c r="K60" s="252"/>
      <c r="L60" s="252"/>
      <c r="M60" s="252"/>
      <c r="N60" s="252"/>
      <c r="O60" s="19"/>
      <c r="P60" s="252"/>
      <c r="Q60" s="252"/>
      <c r="R60" s="252"/>
      <c r="S60" s="252"/>
      <c r="T60" s="252"/>
      <c r="U60" s="19"/>
      <c r="V60" s="252"/>
      <c r="W60" s="252"/>
      <c r="X60" s="252"/>
      <c r="Y60" s="252"/>
      <c r="Z60" s="252"/>
      <c r="AA60" s="19"/>
      <c r="AB60" s="252"/>
      <c r="AC60" s="252"/>
      <c r="AD60" s="252"/>
      <c r="AE60" s="252"/>
      <c r="AF60" s="252"/>
      <c r="AG60" s="19"/>
      <c r="AH60" s="252"/>
    </row>
    <row r="61" spans="1:34" x14ac:dyDescent="0.2">
      <c r="A61" s="289"/>
      <c r="B61" s="284" t="s">
        <v>118</v>
      </c>
      <c r="C61" s="284"/>
      <c r="D61" s="251" t="s">
        <v>78</v>
      </c>
      <c r="E61" s="252">
        <v>1</v>
      </c>
      <c r="F61" s="252">
        <v>1</v>
      </c>
      <c r="G61" s="252">
        <v>1</v>
      </c>
      <c r="H61" s="252">
        <v>1</v>
      </c>
      <c r="I61" s="251"/>
      <c r="J61" s="252">
        <v>1</v>
      </c>
      <c r="K61" s="252">
        <v>1</v>
      </c>
      <c r="L61" s="252">
        <v>1</v>
      </c>
      <c r="M61" s="252">
        <v>1</v>
      </c>
      <c r="N61" s="252">
        <v>1</v>
      </c>
      <c r="O61" s="19"/>
      <c r="P61" s="252">
        <v>1</v>
      </c>
      <c r="Q61" s="252">
        <v>1</v>
      </c>
      <c r="R61" s="252">
        <v>1</v>
      </c>
      <c r="S61" s="252">
        <v>1</v>
      </c>
      <c r="T61" s="252">
        <v>1</v>
      </c>
      <c r="U61" s="19"/>
      <c r="V61" s="252">
        <v>1</v>
      </c>
      <c r="W61" s="252">
        <v>1</v>
      </c>
      <c r="X61" s="252">
        <v>1</v>
      </c>
      <c r="Y61" s="252">
        <v>1</v>
      </c>
      <c r="Z61" s="252">
        <v>1</v>
      </c>
      <c r="AA61" s="19"/>
      <c r="AB61" s="252">
        <v>1</v>
      </c>
      <c r="AC61" s="252">
        <v>1</v>
      </c>
      <c r="AD61" s="252">
        <v>1</v>
      </c>
      <c r="AE61" s="252">
        <v>1</v>
      </c>
      <c r="AF61" s="252">
        <v>1</v>
      </c>
      <c r="AG61" s="19"/>
      <c r="AH61" s="252">
        <v>1</v>
      </c>
    </row>
    <row r="62" spans="1:34" x14ac:dyDescent="0.2">
      <c r="A62" s="289"/>
      <c r="B62" s="284"/>
      <c r="C62" s="284"/>
      <c r="D62" s="251"/>
      <c r="E62" s="252"/>
      <c r="F62" s="252"/>
      <c r="G62" s="252"/>
      <c r="H62" s="252"/>
      <c r="I62" s="251">
        <f>F62</f>
        <v>0</v>
      </c>
      <c r="J62" s="252"/>
      <c r="K62" s="252"/>
      <c r="L62" s="252"/>
      <c r="M62" s="252"/>
      <c r="N62" s="252"/>
      <c r="O62" s="19"/>
      <c r="P62" s="252"/>
      <c r="Q62" s="252"/>
      <c r="R62" s="252"/>
      <c r="S62" s="252"/>
      <c r="T62" s="252"/>
      <c r="U62" s="19"/>
      <c r="V62" s="252"/>
      <c r="W62" s="252"/>
      <c r="X62" s="252"/>
      <c r="Y62" s="252"/>
      <c r="Z62" s="252"/>
      <c r="AA62" s="19"/>
      <c r="AB62" s="252"/>
      <c r="AC62" s="252"/>
      <c r="AD62" s="252"/>
      <c r="AE62" s="252"/>
      <c r="AF62" s="252"/>
      <c r="AG62" s="19"/>
      <c r="AH62" s="252"/>
    </row>
    <row r="63" spans="1:34" ht="21" customHeight="1" x14ac:dyDescent="0.2">
      <c r="A63" s="289"/>
      <c r="B63" s="284" t="s">
        <v>120</v>
      </c>
      <c r="C63" s="284"/>
      <c r="D63" s="251" t="s">
        <v>78</v>
      </c>
      <c r="E63" s="254">
        <v>2.5000000000000001E-3</v>
      </c>
      <c r="F63" s="254">
        <v>2.5000000000000001E-3</v>
      </c>
      <c r="G63" s="254">
        <v>2.5000000000000001E-3</v>
      </c>
      <c r="H63" s="254">
        <v>2.5000000000000001E-3</v>
      </c>
      <c r="I63" s="19"/>
      <c r="J63" s="254">
        <v>2.5000000000000001E-3</v>
      </c>
      <c r="K63" s="254">
        <v>2.3999999999999998E-3</v>
      </c>
      <c r="L63" s="254">
        <v>2.3999999999999998E-3</v>
      </c>
      <c r="M63" s="254">
        <v>2.3999999999999998E-3</v>
      </c>
      <c r="N63" s="254">
        <v>2.3999999999999998E-3</v>
      </c>
      <c r="O63" s="19"/>
      <c r="P63" s="254">
        <v>2.3999999999999998E-3</v>
      </c>
      <c r="Q63" s="254">
        <v>2.3E-3</v>
      </c>
      <c r="R63" s="254">
        <v>2.3E-3</v>
      </c>
      <c r="S63" s="254">
        <v>2.3E-3</v>
      </c>
      <c r="T63" s="254">
        <v>2.3E-3</v>
      </c>
      <c r="U63" s="19"/>
      <c r="V63" s="254">
        <v>2.3E-3</v>
      </c>
      <c r="W63" s="254">
        <v>2.2000000000000001E-3</v>
      </c>
      <c r="X63" s="254">
        <v>2.2000000000000001E-3</v>
      </c>
      <c r="Y63" s="254">
        <v>2.2000000000000001E-3</v>
      </c>
      <c r="Z63" s="254">
        <v>2.2000000000000001E-3</v>
      </c>
      <c r="AA63" s="19"/>
      <c r="AB63" s="254">
        <v>2.2000000000000001E-3</v>
      </c>
      <c r="AC63" s="254">
        <v>2E-3</v>
      </c>
      <c r="AD63" s="254">
        <v>2E-3</v>
      </c>
      <c r="AE63" s="254">
        <v>2E-3</v>
      </c>
      <c r="AF63" s="254">
        <v>2E-3</v>
      </c>
      <c r="AG63" s="19"/>
      <c r="AH63" s="254">
        <v>2E-3</v>
      </c>
    </row>
    <row r="64" spans="1:34" x14ac:dyDescent="0.2">
      <c r="A64" s="289"/>
      <c r="B64" s="294"/>
      <c r="C64" s="294"/>
      <c r="D64" s="251"/>
      <c r="E64" s="251"/>
      <c r="F64" s="251"/>
      <c r="G64" s="251"/>
      <c r="H64" s="251"/>
      <c r="I64" s="19"/>
      <c r="J64" s="251"/>
      <c r="K64" s="254"/>
      <c r="L64" s="254"/>
      <c r="M64" s="254"/>
      <c r="N64" s="254"/>
      <c r="O64" s="19"/>
      <c r="P64" s="254"/>
      <c r="Q64" s="254"/>
      <c r="R64" s="254"/>
      <c r="S64" s="254"/>
      <c r="T64" s="254"/>
      <c r="U64" s="19"/>
      <c r="V64" s="254"/>
      <c r="W64" s="254"/>
      <c r="X64" s="254"/>
      <c r="Y64" s="254"/>
      <c r="Z64" s="254"/>
      <c r="AA64" s="19"/>
      <c r="AB64" s="254"/>
      <c r="AC64" s="251"/>
      <c r="AD64" s="251"/>
      <c r="AE64" s="251"/>
      <c r="AF64" s="251"/>
      <c r="AG64" s="19"/>
      <c r="AH64" s="251"/>
    </row>
    <row r="65" spans="1:34" x14ac:dyDescent="0.2">
      <c r="A65" s="289"/>
      <c r="B65" s="284" t="s">
        <v>14</v>
      </c>
      <c r="C65" s="284"/>
      <c r="D65" s="251" t="s">
        <v>78</v>
      </c>
      <c r="E65" s="252">
        <v>0.25</v>
      </c>
      <c r="F65" s="252">
        <v>0.25</v>
      </c>
      <c r="G65" s="252">
        <v>0.25</v>
      </c>
      <c r="H65" s="252">
        <v>0.25</v>
      </c>
      <c r="I65" s="19"/>
      <c r="J65" s="252">
        <v>0.25</v>
      </c>
      <c r="K65" s="252">
        <v>0.24</v>
      </c>
      <c r="L65" s="252">
        <v>0.24</v>
      </c>
      <c r="M65" s="252">
        <v>0.24</v>
      </c>
      <c r="N65" s="252">
        <v>0.24</v>
      </c>
      <c r="O65" s="19"/>
      <c r="P65" s="252">
        <v>0.24</v>
      </c>
      <c r="Q65" s="252">
        <v>0.23</v>
      </c>
      <c r="R65" s="252">
        <v>0.23</v>
      </c>
      <c r="S65" s="252">
        <v>0.23</v>
      </c>
      <c r="T65" s="252">
        <v>0.23</v>
      </c>
      <c r="U65" s="19"/>
      <c r="V65" s="252">
        <v>0.23</v>
      </c>
      <c r="W65" s="252">
        <v>0.22</v>
      </c>
      <c r="X65" s="252">
        <v>0.22</v>
      </c>
      <c r="Y65" s="252">
        <v>0.22</v>
      </c>
      <c r="Z65" s="252">
        <v>0.22</v>
      </c>
      <c r="AA65" s="19"/>
      <c r="AB65" s="252">
        <v>0.22</v>
      </c>
      <c r="AC65" s="252">
        <v>0.2</v>
      </c>
      <c r="AD65" s="252">
        <v>0.2</v>
      </c>
      <c r="AE65" s="252">
        <v>0.2</v>
      </c>
      <c r="AF65" s="252">
        <v>0.2</v>
      </c>
      <c r="AG65" s="19"/>
      <c r="AH65" s="252">
        <v>0.2</v>
      </c>
    </row>
    <row r="66" spans="1:34" x14ac:dyDescent="0.2">
      <c r="A66" s="289"/>
      <c r="B66" s="284"/>
      <c r="C66" s="284"/>
      <c r="D66" s="251"/>
      <c r="E66" s="251"/>
      <c r="F66" s="251"/>
      <c r="G66" s="251"/>
      <c r="H66" s="251"/>
      <c r="I66" s="19"/>
      <c r="J66" s="251"/>
      <c r="K66" s="251"/>
      <c r="L66" s="251"/>
      <c r="M66" s="251"/>
      <c r="N66" s="251"/>
      <c r="O66" s="19"/>
      <c r="P66" s="251"/>
      <c r="Q66" s="251"/>
      <c r="R66" s="251"/>
      <c r="S66" s="251"/>
      <c r="T66" s="251"/>
      <c r="U66" s="19"/>
      <c r="V66" s="251"/>
      <c r="W66" s="251"/>
      <c r="X66" s="251"/>
      <c r="Y66" s="251"/>
      <c r="Z66" s="251"/>
      <c r="AA66" s="19"/>
      <c r="AB66" s="251"/>
      <c r="AC66" s="251"/>
      <c r="AD66" s="251"/>
      <c r="AE66" s="251"/>
      <c r="AF66" s="251"/>
      <c r="AG66" s="19"/>
      <c r="AH66" s="251"/>
    </row>
    <row r="67" spans="1:34" x14ac:dyDescent="0.2">
      <c r="A67" s="289"/>
      <c r="B67" s="284" t="s">
        <v>111</v>
      </c>
      <c r="C67" s="284"/>
      <c r="D67" s="251" t="s">
        <v>78</v>
      </c>
      <c r="E67" s="252">
        <v>1</v>
      </c>
      <c r="F67" s="252">
        <v>1</v>
      </c>
      <c r="G67" s="252">
        <v>1</v>
      </c>
      <c r="H67" s="252">
        <v>1</v>
      </c>
      <c r="I67" s="19"/>
      <c r="J67" s="252">
        <v>1</v>
      </c>
      <c r="K67" s="252">
        <v>1</v>
      </c>
      <c r="L67" s="252">
        <v>1</v>
      </c>
      <c r="M67" s="252">
        <v>1</v>
      </c>
      <c r="N67" s="252">
        <v>1</v>
      </c>
      <c r="O67" s="19"/>
      <c r="P67" s="252">
        <v>1</v>
      </c>
      <c r="Q67" s="252">
        <v>1</v>
      </c>
      <c r="R67" s="252">
        <v>1</v>
      </c>
      <c r="S67" s="252">
        <v>1</v>
      </c>
      <c r="T67" s="252">
        <v>1</v>
      </c>
      <c r="U67" s="19"/>
      <c r="V67" s="252">
        <v>1</v>
      </c>
      <c r="W67" s="252">
        <v>1</v>
      </c>
      <c r="X67" s="252">
        <v>1</v>
      </c>
      <c r="Y67" s="252">
        <v>1</v>
      </c>
      <c r="Z67" s="252">
        <v>1</v>
      </c>
      <c r="AA67" s="19"/>
      <c r="AB67" s="252">
        <v>1</v>
      </c>
      <c r="AC67" s="252">
        <v>1</v>
      </c>
      <c r="AD67" s="252">
        <v>1</v>
      </c>
      <c r="AE67" s="252">
        <v>1</v>
      </c>
      <c r="AF67" s="252">
        <v>1</v>
      </c>
      <c r="AG67" s="19"/>
      <c r="AH67" s="252">
        <v>1</v>
      </c>
    </row>
    <row r="68" spans="1:34" x14ac:dyDescent="0.2">
      <c r="A68" s="289"/>
      <c r="B68" s="284"/>
      <c r="C68" s="284"/>
      <c r="D68" s="251"/>
      <c r="E68" s="252"/>
      <c r="F68" s="252"/>
      <c r="G68" s="252"/>
      <c r="H68" s="252"/>
      <c r="I68" s="19"/>
      <c r="J68" s="252"/>
      <c r="K68" s="252"/>
      <c r="L68" s="252"/>
      <c r="M68" s="252"/>
      <c r="N68" s="252"/>
      <c r="O68" s="19"/>
      <c r="P68" s="252"/>
      <c r="Q68" s="252"/>
      <c r="R68" s="252"/>
      <c r="S68" s="252"/>
      <c r="T68" s="252"/>
      <c r="U68" s="19"/>
      <c r="V68" s="252"/>
      <c r="W68" s="252"/>
      <c r="X68" s="252"/>
      <c r="Y68" s="252"/>
      <c r="Z68" s="252"/>
      <c r="AA68" s="19"/>
      <c r="AB68" s="252"/>
      <c r="AC68" s="252"/>
      <c r="AD68" s="252"/>
      <c r="AE68" s="252"/>
      <c r="AF68" s="252"/>
      <c r="AG68" s="19"/>
      <c r="AH68" s="252"/>
    </row>
    <row r="69" spans="1:34" x14ac:dyDescent="0.2">
      <c r="A69" s="289"/>
      <c r="B69" s="284" t="s">
        <v>15</v>
      </c>
      <c r="C69" s="284"/>
      <c r="D69" s="251" t="s">
        <v>78</v>
      </c>
      <c r="E69" s="254">
        <v>7.0000000000000001E-3</v>
      </c>
      <c r="F69" s="254">
        <v>7.0000000000000001E-3</v>
      </c>
      <c r="G69" s="254">
        <v>7.0000000000000001E-3</v>
      </c>
      <c r="H69" s="254">
        <v>7.0000000000000001E-3</v>
      </c>
      <c r="I69" s="19"/>
      <c r="J69" s="254">
        <v>7.0000000000000001E-3</v>
      </c>
      <c r="K69" s="254">
        <v>6.8999999999999999E-3</v>
      </c>
      <c r="L69" s="254">
        <v>6.8999999999999999E-3</v>
      </c>
      <c r="M69" s="254">
        <v>6.8999999999999999E-3</v>
      </c>
      <c r="N69" s="254">
        <v>6.8999999999999999E-3</v>
      </c>
      <c r="O69" s="19"/>
      <c r="P69" s="254">
        <v>6.8999999999999999E-3</v>
      </c>
      <c r="Q69" s="254">
        <v>6.7999999999999996E-3</v>
      </c>
      <c r="R69" s="254">
        <v>6.7999999999999996E-3</v>
      </c>
      <c r="S69" s="254">
        <v>6.7999999999999996E-3</v>
      </c>
      <c r="T69" s="254">
        <v>6.7999999999999996E-3</v>
      </c>
      <c r="U69" s="19"/>
      <c r="V69" s="254">
        <v>6.7999999999999996E-3</v>
      </c>
      <c r="W69" s="254">
        <v>6.7000000000000002E-3</v>
      </c>
      <c r="X69" s="254">
        <v>6.7000000000000002E-3</v>
      </c>
      <c r="Y69" s="254">
        <v>6.7000000000000002E-3</v>
      </c>
      <c r="Z69" s="254">
        <v>6.7000000000000002E-3</v>
      </c>
      <c r="AA69" s="19"/>
      <c r="AB69" s="254">
        <v>6.7000000000000002E-3</v>
      </c>
      <c r="AC69" s="254">
        <v>6.4999999999999997E-3</v>
      </c>
      <c r="AD69" s="254">
        <v>6.4999999999999997E-3</v>
      </c>
      <c r="AE69" s="254">
        <v>6.4999999999999997E-3</v>
      </c>
      <c r="AF69" s="254">
        <v>6.4999999999999997E-3</v>
      </c>
      <c r="AG69" s="19"/>
      <c r="AH69" s="254">
        <v>6.4999999999999997E-3</v>
      </c>
    </row>
    <row r="70" spans="1:34" x14ac:dyDescent="0.2">
      <c r="A70" s="289"/>
      <c r="B70" s="284"/>
      <c r="C70" s="284"/>
      <c r="D70" s="251"/>
      <c r="E70" s="251"/>
      <c r="F70" s="251"/>
      <c r="G70" s="251"/>
      <c r="H70" s="251"/>
      <c r="I70" s="19"/>
      <c r="J70" s="251"/>
      <c r="K70" s="251"/>
      <c r="L70" s="251"/>
      <c r="M70" s="251"/>
      <c r="N70" s="251"/>
      <c r="O70" s="19"/>
      <c r="P70" s="251"/>
      <c r="Q70" s="251"/>
      <c r="R70" s="251"/>
      <c r="S70" s="251"/>
      <c r="T70" s="251"/>
      <c r="U70" s="19"/>
      <c r="V70" s="251"/>
      <c r="W70" s="251"/>
      <c r="X70" s="251"/>
      <c r="Y70" s="251"/>
      <c r="Z70" s="251"/>
      <c r="AA70" s="19"/>
      <c r="AB70" s="251"/>
      <c r="AC70" s="251"/>
      <c r="AD70" s="251"/>
      <c r="AE70" s="251"/>
      <c r="AF70" s="251"/>
      <c r="AG70" s="19"/>
      <c r="AH70" s="251"/>
    </row>
    <row r="71" spans="1:34" ht="10.199999999999999" customHeight="1" x14ac:dyDescent="0.2">
      <c r="A71" s="265"/>
      <c r="B71" s="287" t="s">
        <v>124</v>
      </c>
      <c r="C71" s="287"/>
      <c r="D71" s="295" t="s">
        <v>94</v>
      </c>
      <c r="E71" s="259" t="s">
        <v>125</v>
      </c>
      <c r="F71" s="259" t="s">
        <v>125</v>
      </c>
      <c r="G71" s="259" t="s">
        <v>125</v>
      </c>
      <c r="H71" s="259" t="s">
        <v>125</v>
      </c>
      <c r="I71" s="19"/>
      <c r="J71" s="259" t="s">
        <v>125</v>
      </c>
      <c r="K71" s="259" t="s">
        <v>125</v>
      </c>
      <c r="L71" s="259" t="s">
        <v>125</v>
      </c>
      <c r="M71" s="259" t="s">
        <v>125</v>
      </c>
      <c r="N71" s="259" t="s">
        <v>125</v>
      </c>
      <c r="O71" s="19"/>
      <c r="P71" s="259" t="s">
        <v>125</v>
      </c>
      <c r="Q71" s="259" t="s">
        <v>125</v>
      </c>
      <c r="R71" s="259" t="s">
        <v>125</v>
      </c>
      <c r="S71" s="259" t="s">
        <v>125</v>
      </c>
      <c r="T71" s="259" t="s">
        <v>125</v>
      </c>
      <c r="U71" s="19"/>
      <c r="V71" s="259" t="s">
        <v>125</v>
      </c>
      <c r="W71" s="259" t="s">
        <v>125</v>
      </c>
      <c r="X71" s="259" t="s">
        <v>125</v>
      </c>
      <c r="Y71" s="259" t="s">
        <v>125</v>
      </c>
      <c r="Z71" s="259" t="s">
        <v>125</v>
      </c>
      <c r="AA71" s="19"/>
      <c r="AB71" s="259" t="s">
        <v>125</v>
      </c>
      <c r="AC71" s="259" t="s">
        <v>125</v>
      </c>
      <c r="AD71" s="259" t="s">
        <v>125</v>
      </c>
      <c r="AE71" s="259" t="s">
        <v>125</v>
      </c>
      <c r="AF71" s="259" t="s">
        <v>125</v>
      </c>
      <c r="AG71" s="19"/>
      <c r="AH71" s="259" t="s">
        <v>125</v>
      </c>
    </row>
    <row r="72" spans="1:34" x14ac:dyDescent="0.2">
      <c r="A72" s="265"/>
      <c r="B72" s="287"/>
      <c r="C72" s="287"/>
      <c r="D72" s="295"/>
      <c r="E72" s="259"/>
      <c r="F72" s="259"/>
      <c r="G72" s="259"/>
      <c r="H72" s="259"/>
      <c r="I72" s="19"/>
      <c r="J72" s="259"/>
      <c r="K72" s="259"/>
      <c r="L72" s="259"/>
      <c r="M72" s="259"/>
      <c r="N72" s="259"/>
      <c r="O72" s="19"/>
      <c r="P72" s="259"/>
      <c r="Q72" s="259"/>
      <c r="R72" s="259"/>
      <c r="S72" s="259"/>
      <c r="T72" s="259"/>
      <c r="U72" s="19"/>
      <c r="V72" s="259"/>
      <c r="W72" s="259"/>
      <c r="X72" s="259"/>
      <c r="Y72" s="259"/>
      <c r="Z72" s="259"/>
      <c r="AA72" s="19"/>
      <c r="AB72" s="259"/>
      <c r="AC72" s="259"/>
      <c r="AD72" s="259"/>
      <c r="AE72" s="259"/>
      <c r="AF72" s="259"/>
      <c r="AG72" s="19"/>
      <c r="AH72" s="259"/>
    </row>
    <row r="73" spans="1:34" x14ac:dyDescent="0.2">
      <c r="A73" s="17">
        <v>1.4</v>
      </c>
      <c r="B73" s="274" t="s">
        <v>16</v>
      </c>
      <c r="C73" s="307"/>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2"/>
    </row>
    <row r="74" spans="1:34" x14ac:dyDescent="0.2">
      <c r="A74" s="289"/>
      <c r="B74" s="284" t="s">
        <v>17</v>
      </c>
      <c r="C74" s="284"/>
      <c r="D74" s="252" t="s">
        <v>78</v>
      </c>
      <c r="E74" s="254">
        <v>0.01</v>
      </c>
      <c r="F74" s="254">
        <v>0.01</v>
      </c>
      <c r="G74" s="254">
        <v>0.01</v>
      </c>
      <c r="H74" s="254">
        <v>0.01</v>
      </c>
      <c r="I74" s="26"/>
      <c r="J74" s="254">
        <v>0.01</v>
      </c>
      <c r="K74" s="254">
        <v>9.7999999999999997E-3</v>
      </c>
      <c r="L74" s="254">
        <v>9.7999999999999997E-3</v>
      </c>
      <c r="M74" s="254">
        <v>9.7999999999999997E-3</v>
      </c>
      <c r="N74" s="254">
        <v>9.7999999999999997E-3</v>
      </c>
      <c r="O74" s="27"/>
      <c r="P74" s="254">
        <v>9.7999999999999997E-3</v>
      </c>
      <c r="Q74" s="254">
        <v>9.5999999999999992E-3</v>
      </c>
      <c r="R74" s="254">
        <v>9.5999999999999992E-3</v>
      </c>
      <c r="S74" s="254">
        <v>9.5999999999999992E-3</v>
      </c>
      <c r="T74" s="254">
        <v>9.5999999999999992E-3</v>
      </c>
      <c r="U74" s="27"/>
      <c r="V74" s="254">
        <v>9.5999999999999992E-3</v>
      </c>
      <c r="W74" s="254">
        <v>9.4000000000000004E-3</v>
      </c>
      <c r="X74" s="254">
        <v>9.4000000000000004E-3</v>
      </c>
      <c r="Y74" s="254">
        <v>9.4000000000000004E-3</v>
      </c>
      <c r="Z74" s="254">
        <v>9.4000000000000004E-3</v>
      </c>
      <c r="AA74" s="27"/>
      <c r="AB74" s="254">
        <v>9.4000000000000004E-3</v>
      </c>
      <c r="AC74" s="254">
        <v>9.1999999999999998E-3</v>
      </c>
      <c r="AD74" s="254">
        <v>9.1999999999999998E-3</v>
      </c>
      <c r="AE74" s="254">
        <v>9.1999999999999998E-3</v>
      </c>
      <c r="AF74" s="254">
        <v>9.1999999999999998E-3</v>
      </c>
      <c r="AG74" s="27"/>
      <c r="AH74" s="254">
        <v>9.1999999999999998E-3</v>
      </c>
    </row>
    <row r="75" spans="1:34" x14ac:dyDescent="0.2">
      <c r="A75" s="289"/>
      <c r="B75" s="284"/>
      <c r="C75" s="284"/>
      <c r="D75" s="252"/>
      <c r="E75" s="254"/>
      <c r="F75" s="254"/>
      <c r="G75" s="254"/>
      <c r="H75" s="254"/>
      <c r="I75" s="19"/>
      <c r="J75" s="254"/>
      <c r="K75" s="254"/>
      <c r="L75" s="254"/>
      <c r="M75" s="254"/>
      <c r="N75" s="254"/>
      <c r="O75" s="27"/>
      <c r="P75" s="254"/>
      <c r="Q75" s="254"/>
      <c r="R75" s="254"/>
      <c r="S75" s="254"/>
      <c r="T75" s="254"/>
      <c r="U75" s="27"/>
      <c r="V75" s="254"/>
      <c r="W75" s="254"/>
      <c r="X75" s="254"/>
      <c r="Y75" s="254"/>
      <c r="Z75" s="254"/>
      <c r="AA75" s="27"/>
      <c r="AB75" s="254"/>
      <c r="AC75" s="254"/>
      <c r="AD75" s="254"/>
      <c r="AE75" s="254"/>
      <c r="AF75" s="254"/>
      <c r="AG75" s="27"/>
      <c r="AH75" s="254"/>
    </row>
    <row r="76" spans="1:34" x14ac:dyDescent="0.2">
      <c r="A76" s="289"/>
      <c r="B76" s="298" t="s">
        <v>82</v>
      </c>
      <c r="C76" s="298"/>
      <c r="D76" s="28" t="s">
        <v>78</v>
      </c>
      <c r="E76" s="29">
        <v>0.33</v>
      </c>
      <c r="F76" s="29">
        <v>0.33</v>
      </c>
      <c r="G76" s="29">
        <v>0.33</v>
      </c>
      <c r="H76" s="29">
        <v>0.33</v>
      </c>
      <c r="I76" s="19"/>
      <c r="J76" s="29">
        <v>0.33</v>
      </c>
      <c r="K76" s="29">
        <v>0.33</v>
      </c>
      <c r="L76" s="29">
        <v>0.33</v>
      </c>
      <c r="M76" s="29">
        <v>0.33</v>
      </c>
      <c r="N76" s="29">
        <v>0.33</v>
      </c>
      <c r="O76" s="19"/>
      <c r="P76" s="29">
        <v>0.33</v>
      </c>
      <c r="Q76" s="29">
        <v>0.33</v>
      </c>
      <c r="R76" s="29">
        <v>0.33</v>
      </c>
      <c r="S76" s="29">
        <v>0.33</v>
      </c>
      <c r="T76" s="29">
        <v>0.33</v>
      </c>
      <c r="U76" s="19"/>
      <c r="V76" s="29">
        <v>0.33</v>
      </c>
      <c r="W76" s="29">
        <v>0.33</v>
      </c>
      <c r="X76" s="29">
        <v>0.33</v>
      </c>
      <c r="Y76" s="29">
        <v>0.33</v>
      </c>
      <c r="Z76" s="29">
        <v>0.33</v>
      </c>
      <c r="AA76" s="19"/>
      <c r="AB76" s="29">
        <v>0.33</v>
      </c>
      <c r="AC76" s="29">
        <v>0.33</v>
      </c>
      <c r="AD76" s="29">
        <v>0.33</v>
      </c>
      <c r="AE76" s="29">
        <v>0.33</v>
      </c>
      <c r="AF76" s="29">
        <v>0.33</v>
      </c>
      <c r="AG76" s="19"/>
      <c r="AH76" s="29">
        <v>0.33</v>
      </c>
    </row>
    <row r="77" spans="1:34" x14ac:dyDescent="0.2">
      <c r="A77" s="289"/>
      <c r="B77" s="298" t="s">
        <v>83</v>
      </c>
      <c r="C77" s="298"/>
      <c r="D77" s="28" t="s">
        <v>78</v>
      </c>
      <c r="E77" s="29">
        <v>0.15</v>
      </c>
      <c r="F77" s="29">
        <v>0.15</v>
      </c>
      <c r="G77" s="29">
        <v>0.15</v>
      </c>
      <c r="H77" s="29">
        <v>0.15</v>
      </c>
      <c r="I77" s="19"/>
      <c r="J77" s="29">
        <v>0.15</v>
      </c>
      <c r="K77" s="29">
        <v>0.14000000000000001</v>
      </c>
      <c r="L77" s="29">
        <v>0.14000000000000001</v>
      </c>
      <c r="M77" s="29">
        <v>0.14000000000000001</v>
      </c>
      <c r="N77" s="29">
        <v>0.14000000000000001</v>
      </c>
      <c r="O77" s="19"/>
      <c r="P77" s="29">
        <v>0.14000000000000001</v>
      </c>
      <c r="Q77" s="29">
        <v>0.13</v>
      </c>
      <c r="R77" s="29">
        <v>0.13</v>
      </c>
      <c r="S77" s="29">
        <v>0.13</v>
      </c>
      <c r="T77" s="29">
        <v>0.13</v>
      </c>
      <c r="U77" s="19"/>
      <c r="V77" s="29">
        <v>0.13</v>
      </c>
      <c r="W77" s="29">
        <v>0.12</v>
      </c>
      <c r="X77" s="29">
        <v>0.12</v>
      </c>
      <c r="Y77" s="29">
        <v>0.12</v>
      </c>
      <c r="Z77" s="29">
        <v>0.12</v>
      </c>
      <c r="AA77" s="19"/>
      <c r="AB77" s="29">
        <v>0.12</v>
      </c>
      <c r="AC77" s="29">
        <v>0.1</v>
      </c>
      <c r="AD77" s="29">
        <v>0.1</v>
      </c>
      <c r="AE77" s="29">
        <v>0.1</v>
      </c>
      <c r="AF77" s="29">
        <v>0.1</v>
      </c>
      <c r="AG77" s="19"/>
      <c r="AH77" s="29">
        <v>0.1</v>
      </c>
    </row>
    <row r="78" spans="1:34" x14ac:dyDescent="0.2">
      <c r="A78" s="289"/>
      <c r="B78" s="284" t="s">
        <v>18</v>
      </c>
      <c r="C78" s="284"/>
      <c r="D78" s="272" t="s">
        <v>78</v>
      </c>
      <c r="E78" s="252">
        <v>0.85</v>
      </c>
      <c r="F78" s="252">
        <v>0.85</v>
      </c>
      <c r="G78" s="252">
        <v>0.85</v>
      </c>
      <c r="H78" s="252">
        <v>0.85</v>
      </c>
      <c r="I78" s="19"/>
      <c r="J78" s="252">
        <v>0.85</v>
      </c>
      <c r="K78" s="252">
        <v>0.85</v>
      </c>
      <c r="L78" s="252">
        <v>0.85</v>
      </c>
      <c r="M78" s="252">
        <v>0.85</v>
      </c>
      <c r="N78" s="252">
        <v>0.85</v>
      </c>
      <c r="O78" s="19"/>
      <c r="P78" s="252">
        <v>0.85</v>
      </c>
      <c r="Q78" s="252">
        <v>0.85</v>
      </c>
      <c r="R78" s="252">
        <v>0.85</v>
      </c>
      <c r="S78" s="252">
        <v>0.85</v>
      </c>
      <c r="T78" s="252">
        <v>0.85</v>
      </c>
      <c r="U78" s="19"/>
      <c r="V78" s="252">
        <v>0.85</v>
      </c>
      <c r="W78" s="252">
        <v>0.85</v>
      </c>
      <c r="X78" s="252">
        <v>0.85</v>
      </c>
      <c r="Y78" s="252">
        <v>0.85</v>
      </c>
      <c r="Z78" s="252">
        <v>0.85</v>
      </c>
      <c r="AA78" s="19"/>
      <c r="AB78" s="252">
        <v>0.85</v>
      </c>
      <c r="AC78" s="252">
        <v>0.85</v>
      </c>
      <c r="AD78" s="252">
        <v>0.85</v>
      </c>
      <c r="AE78" s="252">
        <v>0.85</v>
      </c>
      <c r="AF78" s="252">
        <v>0.85</v>
      </c>
      <c r="AG78" s="19"/>
      <c r="AH78" s="252">
        <v>0.85</v>
      </c>
    </row>
    <row r="79" spans="1:34" x14ac:dyDescent="0.2">
      <c r="A79" s="289"/>
      <c r="B79" s="284"/>
      <c r="C79" s="284"/>
      <c r="D79" s="251"/>
      <c r="E79" s="252"/>
      <c r="F79" s="252"/>
      <c r="G79" s="252"/>
      <c r="H79" s="252"/>
      <c r="I79" s="19"/>
      <c r="J79" s="252"/>
      <c r="K79" s="252"/>
      <c r="L79" s="252"/>
      <c r="M79" s="252"/>
      <c r="N79" s="252"/>
      <c r="O79" s="19"/>
      <c r="P79" s="252"/>
      <c r="Q79" s="252"/>
      <c r="R79" s="252"/>
      <c r="S79" s="252"/>
      <c r="T79" s="252"/>
      <c r="U79" s="19"/>
      <c r="V79" s="252"/>
      <c r="W79" s="252"/>
      <c r="X79" s="252"/>
      <c r="Y79" s="252"/>
      <c r="Z79" s="252"/>
      <c r="AA79" s="19"/>
      <c r="AB79" s="252"/>
      <c r="AC79" s="252"/>
      <c r="AD79" s="252"/>
      <c r="AE79" s="252"/>
      <c r="AF79" s="252"/>
      <c r="AG79" s="19"/>
      <c r="AH79" s="252"/>
    </row>
    <row r="80" spans="1:34" x14ac:dyDescent="0.2">
      <c r="A80" s="17">
        <v>1.5</v>
      </c>
      <c r="B80" s="274" t="s">
        <v>19</v>
      </c>
      <c r="C80" s="307"/>
      <c r="D80" s="321"/>
      <c r="E80" s="321"/>
      <c r="F80" s="321"/>
      <c r="G80" s="321"/>
      <c r="H80" s="321"/>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2"/>
    </row>
    <row r="81" spans="1:34" x14ac:dyDescent="0.2">
      <c r="A81" s="30" t="s">
        <v>41</v>
      </c>
      <c r="B81" s="305" t="s">
        <v>20</v>
      </c>
      <c r="C81" s="305"/>
      <c r="D81" s="204"/>
      <c r="E81" s="204"/>
      <c r="F81" s="204"/>
      <c r="G81" s="204"/>
      <c r="H81" s="204"/>
      <c r="I81" s="50"/>
      <c r="J81" s="50"/>
      <c r="K81" s="204"/>
      <c r="L81" s="204"/>
      <c r="M81" s="204"/>
      <c r="N81" s="204"/>
      <c r="O81" s="50"/>
      <c r="P81" s="50"/>
      <c r="Q81" s="204"/>
      <c r="R81" s="204"/>
      <c r="S81" s="204"/>
      <c r="T81" s="204"/>
      <c r="U81" s="50"/>
      <c r="V81" s="50"/>
      <c r="W81" s="204"/>
      <c r="X81" s="204"/>
      <c r="Y81" s="204"/>
      <c r="Z81" s="204"/>
      <c r="AA81" s="50"/>
      <c r="AB81" s="50"/>
      <c r="AC81" s="204"/>
      <c r="AD81" s="204"/>
      <c r="AE81" s="204"/>
      <c r="AF81" s="204"/>
      <c r="AG81" s="50"/>
      <c r="AH81" s="50"/>
    </row>
    <row r="82" spans="1:34" ht="32.25" customHeight="1" x14ac:dyDescent="0.2">
      <c r="A82" s="289"/>
      <c r="B82" s="33" t="s">
        <v>95</v>
      </c>
      <c r="C82" s="34"/>
      <c r="D82" s="24" t="s">
        <v>135</v>
      </c>
      <c r="E82" s="35">
        <v>4</v>
      </c>
      <c r="F82" s="35">
        <v>4</v>
      </c>
      <c r="G82" s="35">
        <v>4</v>
      </c>
      <c r="H82" s="35">
        <v>3</v>
      </c>
      <c r="I82" s="35"/>
      <c r="J82" s="35">
        <v>15</v>
      </c>
      <c r="K82" s="35">
        <v>4</v>
      </c>
      <c r="L82" s="35">
        <v>4</v>
      </c>
      <c r="M82" s="35">
        <v>4</v>
      </c>
      <c r="N82" s="35">
        <v>3</v>
      </c>
      <c r="O82" s="36"/>
      <c r="P82" s="35">
        <v>15</v>
      </c>
      <c r="Q82" s="35">
        <v>4</v>
      </c>
      <c r="R82" s="35">
        <v>4</v>
      </c>
      <c r="S82" s="35">
        <v>4</v>
      </c>
      <c r="T82" s="35">
        <v>3</v>
      </c>
      <c r="U82" s="35"/>
      <c r="V82" s="35">
        <v>15</v>
      </c>
      <c r="W82" s="35">
        <v>4</v>
      </c>
      <c r="X82" s="35">
        <v>4</v>
      </c>
      <c r="Y82" s="35">
        <v>4</v>
      </c>
      <c r="Z82" s="35">
        <v>3</v>
      </c>
      <c r="AA82" s="36"/>
      <c r="AB82" s="35">
        <v>15</v>
      </c>
      <c r="AC82" s="35">
        <v>4</v>
      </c>
      <c r="AD82" s="35">
        <v>4</v>
      </c>
      <c r="AE82" s="35">
        <v>4</v>
      </c>
      <c r="AF82" s="35">
        <v>3</v>
      </c>
      <c r="AG82" s="35"/>
      <c r="AH82" s="35">
        <v>15</v>
      </c>
    </row>
    <row r="83" spans="1:34" x14ac:dyDescent="0.2">
      <c r="A83" s="289"/>
      <c r="B83" s="284" t="s">
        <v>84</v>
      </c>
      <c r="C83" s="273" t="s">
        <v>6</v>
      </c>
      <c r="D83" s="272" t="s">
        <v>78</v>
      </c>
      <c r="E83" s="252">
        <v>0.5</v>
      </c>
      <c r="F83" s="252">
        <v>0.5</v>
      </c>
      <c r="G83" s="252">
        <v>0.5</v>
      </c>
      <c r="H83" s="252">
        <v>0.5</v>
      </c>
      <c r="I83" s="26"/>
      <c r="J83" s="252">
        <v>0.5</v>
      </c>
      <c r="K83" s="252">
        <v>0.49</v>
      </c>
      <c r="L83" s="252">
        <v>0.49</v>
      </c>
      <c r="M83" s="252">
        <v>0.49</v>
      </c>
      <c r="N83" s="252">
        <v>0.49</v>
      </c>
      <c r="O83" s="26"/>
      <c r="P83" s="252">
        <v>0.49</v>
      </c>
      <c r="Q83" s="252">
        <v>0.48</v>
      </c>
      <c r="R83" s="252">
        <v>0.48</v>
      </c>
      <c r="S83" s="252">
        <v>0.48</v>
      </c>
      <c r="T83" s="252">
        <v>0.48</v>
      </c>
      <c r="U83" s="26"/>
      <c r="V83" s="252">
        <v>0.48</v>
      </c>
      <c r="W83" s="252">
        <v>0.47</v>
      </c>
      <c r="X83" s="252">
        <v>0.47</v>
      </c>
      <c r="Y83" s="252">
        <v>0.47</v>
      </c>
      <c r="Z83" s="252">
        <v>0.47</v>
      </c>
      <c r="AA83" s="24"/>
      <c r="AB83" s="252">
        <v>0.47</v>
      </c>
      <c r="AC83" s="252">
        <v>0.45</v>
      </c>
      <c r="AD83" s="252">
        <v>0.45</v>
      </c>
      <c r="AE83" s="252">
        <v>0.45</v>
      </c>
      <c r="AF83" s="252">
        <v>0.45</v>
      </c>
      <c r="AG83" s="26"/>
      <c r="AH83" s="252">
        <v>0.45</v>
      </c>
    </row>
    <row r="84" spans="1:34" x14ac:dyDescent="0.2">
      <c r="A84" s="289"/>
      <c r="B84" s="284"/>
      <c r="C84" s="273"/>
      <c r="D84" s="251"/>
      <c r="E84" s="252"/>
      <c r="F84" s="252"/>
      <c r="G84" s="252"/>
      <c r="H84" s="252"/>
      <c r="I84" s="26"/>
      <c r="J84" s="252"/>
      <c r="K84" s="252"/>
      <c r="L84" s="252"/>
      <c r="M84" s="252"/>
      <c r="N84" s="252"/>
      <c r="O84" s="26"/>
      <c r="P84" s="252"/>
      <c r="Q84" s="252"/>
      <c r="R84" s="252"/>
      <c r="S84" s="252"/>
      <c r="T84" s="252"/>
      <c r="U84" s="26"/>
      <c r="V84" s="252"/>
      <c r="W84" s="252"/>
      <c r="X84" s="252"/>
      <c r="Y84" s="252"/>
      <c r="Z84" s="252"/>
      <c r="AA84" s="24"/>
      <c r="AB84" s="252"/>
      <c r="AC84" s="252"/>
      <c r="AD84" s="252"/>
      <c r="AE84" s="252"/>
      <c r="AF84" s="252"/>
      <c r="AG84" s="26"/>
      <c r="AH84" s="252"/>
    </row>
    <row r="85" spans="1:34" x14ac:dyDescent="0.2">
      <c r="A85" s="289"/>
      <c r="B85" s="284"/>
      <c r="C85" s="273" t="s">
        <v>7</v>
      </c>
      <c r="D85" s="272" t="s">
        <v>78</v>
      </c>
      <c r="E85" s="252">
        <v>0.25</v>
      </c>
      <c r="F85" s="252">
        <v>0.25</v>
      </c>
      <c r="G85" s="252">
        <v>0.25</v>
      </c>
      <c r="H85" s="252">
        <v>0.25</v>
      </c>
      <c r="I85" s="26"/>
      <c r="J85" s="252">
        <v>0.25</v>
      </c>
      <c r="K85" s="252">
        <v>0.24</v>
      </c>
      <c r="L85" s="252">
        <v>0.24</v>
      </c>
      <c r="M85" s="252">
        <v>0.24</v>
      </c>
      <c r="N85" s="252">
        <v>0.24</v>
      </c>
      <c r="O85" s="26"/>
      <c r="P85" s="252">
        <v>0.24</v>
      </c>
      <c r="Q85" s="252">
        <v>0.23</v>
      </c>
      <c r="R85" s="252">
        <v>0.23</v>
      </c>
      <c r="S85" s="252">
        <v>0.23</v>
      </c>
      <c r="T85" s="252">
        <v>0.23</v>
      </c>
      <c r="U85" s="26"/>
      <c r="V85" s="252">
        <v>0.23</v>
      </c>
      <c r="W85" s="252">
        <v>0.22</v>
      </c>
      <c r="X85" s="252">
        <v>0.22</v>
      </c>
      <c r="Y85" s="252">
        <v>0.22</v>
      </c>
      <c r="Z85" s="252">
        <v>0.22</v>
      </c>
      <c r="AA85" s="24"/>
      <c r="AB85" s="252">
        <v>0.22</v>
      </c>
      <c r="AC85" s="252">
        <v>0.2</v>
      </c>
      <c r="AD85" s="252">
        <v>0.2</v>
      </c>
      <c r="AE85" s="252">
        <v>0.2</v>
      </c>
      <c r="AF85" s="252">
        <v>0.2</v>
      </c>
      <c r="AG85" s="26"/>
      <c r="AH85" s="252">
        <v>0.2</v>
      </c>
    </row>
    <row r="86" spans="1:34" x14ac:dyDescent="0.2">
      <c r="A86" s="289"/>
      <c r="B86" s="284"/>
      <c r="C86" s="273"/>
      <c r="D86" s="251"/>
      <c r="E86" s="252"/>
      <c r="F86" s="252"/>
      <c r="G86" s="252"/>
      <c r="H86" s="252"/>
      <c r="I86" s="26"/>
      <c r="J86" s="252"/>
      <c r="K86" s="252"/>
      <c r="L86" s="252"/>
      <c r="M86" s="252"/>
      <c r="N86" s="252"/>
      <c r="O86" s="26"/>
      <c r="P86" s="252"/>
      <c r="Q86" s="252"/>
      <c r="R86" s="252"/>
      <c r="S86" s="252"/>
      <c r="T86" s="252"/>
      <c r="U86" s="26"/>
      <c r="V86" s="252"/>
      <c r="W86" s="252"/>
      <c r="X86" s="252"/>
      <c r="Y86" s="252"/>
      <c r="Z86" s="252"/>
      <c r="AA86" s="24"/>
      <c r="AB86" s="252"/>
      <c r="AC86" s="252"/>
      <c r="AD86" s="252"/>
      <c r="AE86" s="252"/>
      <c r="AF86" s="252"/>
      <c r="AG86" s="26"/>
      <c r="AH86" s="252"/>
    </row>
    <row r="87" spans="1:34" x14ac:dyDescent="0.2">
      <c r="A87" s="289"/>
      <c r="B87" s="284"/>
      <c r="C87" s="273" t="s">
        <v>8</v>
      </c>
      <c r="D87" s="272" t="s">
        <v>78</v>
      </c>
      <c r="E87" s="252">
        <v>0.3</v>
      </c>
      <c r="F87" s="252">
        <v>0.3</v>
      </c>
      <c r="G87" s="252">
        <v>0.3</v>
      </c>
      <c r="H87" s="252">
        <v>0.3</v>
      </c>
      <c r="I87" s="26"/>
      <c r="J87" s="252">
        <v>0.3</v>
      </c>
      <c r="K87" s="252">
        <v>0.28999999999999998</v>
      </c>
      <c r="L87" s="252">
        <v>0.28999999999999998</v>
      </c>
      <c r="M87" s="252">
        <v>0.28999999999999998</v>
      </c>
      <c r="N87" s="252">
        <v>0.28999999999999998</v>
      </c>
      <c r="O87" s="26"/>
      <c r="P87" s="252">
        <v>0.28999999999999998</v>
      </c>
      <c r="Q87" s="252">
        <v>0.28000000000000003</v>
      </c>
      <c r="R87" s="252">
        <v>0.28000000000000003</v>
      </c>
      <c r="S87" s="252">
        <v>0.28000000000000003</v>
      </c>
      <c r="T87" s="252">
        <v>0.28000000000000003</v>
      </c>
      <c r="U87" s="26"/>
      <c r="V87" s="252">
        <v>0.28000000000000003</v>
      </c>
      <c r="W87" s="252">
        <v>0.27</v>
      </c>
      <c r="X87" s="252">
        <v>0.27</v>
      </c>
      <c r="Y87" s="252">
        <v>0.27</v>
      </c>
      <c r="Z87" s="252">
        <v>0.27</v>
      </c>
      <c r="AA87" s="24"/>
      <c r="AB87" s="252">
        <v>0.27</v>
      </c>
      <c r="AC87" s="252">
        <v>0.25</v>
      </c>
      <c r="AD87" s="252">
        <v>0.25</v>
      </c>
      <c r="AE87" s="252">
        <v>0.25</v>
      </c>
      <c r="AF87" s="252">
        <v>0.25</v>
      </c>
      <c r="AG87" s="26"/>
      <c r="AH87" s="252">
        <v>0.25</v>
      </c>
    </row>
    <row r="88" spans="1:34" x14ac:dyDescent="0.2">
      <c r="A88" s="289"/>
      <c r="B88" s="284"/>
      <c r="C88" s="273"/>
      <c r="D88" s="251"/>
      <c r="E88" s="252"/>
      <c r="F88" s="252"/>
      <c r="G88" s="252"/>
      <c r="H88" s="252"/>
      <c r="I88" s="26"/>
      <c r="J88" s="252"/>
      <c r="K88" s="252"/>
      <c r="L88" s="252"/>
      <c r="M88" s="252"/>
      <c r="N88" s="252"/>
      <c r="O88" s="26"/>
      <c r="P88" s="252"/>
      <c r="Q88" s="252"/>
      <c r="R88" s="252"/>
      <c r="S88" s="252"/>
      <c r="T88" s="252"/>
      <c r="U88" s="26"/>
      <c r="V88" s="252"/>
      <c r="W88" s="252"/>
      <c r="X88" s="252"/>
      <c r="Y88" s="252"/>
      <c r="Z88" s="252"/>
      <c r="AA88" s="24"/>
      <c r="AB88" s="252"/>
      <c r="AC88" s="252"/>
      <c r="AD88" s="252"/>
      <c r="AE88" s="252"/>
      <c r="AF88" s="252"/>
      <c r="AG88" s="26"/>
      <c r="AH88" s="252"/>
    </row>
    <row r="89" spans="1:34" x14ac:dyDescent="0.2">
      <c r="A89" s="289"/>
      <c r="B89" s="284" t="s">
        <v>96</v>
      </c>
      <c r="C89" s="273" t="s">
        <v>6</v>
      </c>
      <c r="D89" s="272" t="s">
        <v>78</v>
      </c>
      <c r="E89" s="252">
        <v>0.25</v>
      </c>
      <c r="F89" s="252">
        <v>0.25</v>
      </c>
      <c r="G89" s="252">
        <v>0.25</v>
      </c>
      <c r="H89" s="252">
        <v>0.25</v>
      </c>
      <c r="I89" s="26"/>
      <c r="J89" s="252">
        <v>0.25</v>
      </c>
      <c r="K89" s="252">
        <v>0.24</v>
      </c>
      <c r="L89" s="252">
        <v>0.24</v>
      </c>
      <c r="M89" s="252">
        <v>0.24</v>
      </c>
      <c r="N89" s="252">
        <v>0.24</v>
      </c>
      <c r="O89" s="26"/>
      <c r="P89" s="252">
        <v>0.24</v>
      </c>
      <c r="Q89" s="252">
        <v>0.23</v>
      </c>
      <c r="R89" s="252">
        <v>0.23</v>
      </c>
      <c r="S89" s="252">
        <v>0.23</v>
      </c>
      <c r="T89" s="252">
        <v>0.23</v>
      </c>
      <c r="U89" s="26"/>
      <c r="V89" s="252">
        <v>0.23</v>
      </c>
      <c r="W89" s="252">
        <v>0.22</v>
      </c>
      <c r="X89" s="252">
        <v>0.22</v>
      </c>
      <c r="Y89" s="252">
        <v>0.22</v>
      </c>
      <c r="Z89" s="252">
        <v>0.22</v>
      </c>
      <c r="AA89" s="24"/>
      <c r="AB89" s="252">
        <v>0.22</v>
      </c>
      <c r="AC89" s="252">
        <v>0.2</v>
      </c>
      <c r="AD89" s="252">
        <v>0.2</v>
      </c>
      <c r="AE89" s="252">
        <v>0.2</v>
      </c>
      <c r="AF89" s="252">
        <v>0.2</v>
      </c>
      <c r="AG89" s="26"/>
      <c r="AH89" s="252">
        <v>0.2</v>
      </c>
    </row>
    <row r="90" spans="1:34" x14ac:dyDescent="0.2">
      <c r="A90" s="289"/>
      <c r="B90" s="479"/>
      <c r="C90" s="265"/>
      <c r="D90" s="251"/>
      <c r="E90" s="252"/>
      <c r="F90" s="252"/>
      <c r="G90" s="252"/>
      <c r="H90" s="252"/>
      <c r="I90" s="26"/>
      <c r="J90" s="252"/>
      <c r="K90" s="252"/>
      <c r="L90" s="252"/>
      <c r="M90" s="252"/>
      <c r="N90" s="252"/>
      <c r="O90" s="26"/>
      <c r="P90" s="252"/>
      <c r="Q90" s="252"/>
      <c r="R90" s="252"/>
      <c r="S90" s="252"/>
      <c r="T90" s="252"/>
      <c r="U90" s="26"/>
      <c r="V90" s="252"/>
      <c r="W90" s="252"/>
      <c r="X90" s="252"/>
      <c r="Y90" s="252"/>
      <c r="Z90" s="252"/>
      <c r="AA90" s="24"/>
      <c r="AB90" s="252"/>
      <c r="AC90" s="252"/>
      <c r="AD90" s="252"/>
      <c r="AE90" s="252"/>
      <c r="AF90" s="252"/>
      <c r="AG90" s="26"/>
      <c r="AH90" s="252"/>
    </row>
    <row r="91" spans="1:34" x14ac:dyDescent="0.2">
      <c r="A91" s="289"/>
      <c r="B91" s="479"/>
      <c r="C91" s="273" t="s">
        <v>7</v>
      </c>
      <c r="D91" s="272" t="s">
        <v>78</v>
      </c>
      <c r="E91" s="252">
        <v>0.25</v>
      </c>
      <c r="F91" s="252">
        <v>0.25</v>
      </c>
      <c r="G91" s="252">
        <v>0.25</v>
      </c>
      <c r="H91" s="252">
        <v>0.25</v>
      </c>
      <c r="I91" s="26"/>
      <c r="J91" s="252">
        <v>0.25</v>
      </c>
      <c r="K91" s="252">
        <v>0.24</v>
      </c>
      <c r="L91" s="252">
        <v>0.24</v>
      </c>
      <c r="M91" s="252">
        <v>0.24</v>
      </c>
      <c r="N91" s="252">
        <v>0.24</v>
      </c>
      <c r="O91" s="26"/>
      <c r="P91" s="252">
        <v>0.24</v>
      </c>
      <c r="Q91" s="252">
        <v>0.23</v>
      </c>
      <c r="R91" s="252">
        <v>0.23</v>
      </c>
      <c r="S91" s="252">
        <v>0.23</v>
      </c>
      <c r="T91" s="252">
        <v>0.23</v>
      </c>
      <c r="U91" s="26"/>
      <c r="V91" s="252">
        <v>0.23</v>
      </c>
      <c r="W91" s="252">
        <v>0.22</v>
      </c>
      <c r="X91" s="252">
        <v>0.22</v>
      </c>
      <c r="Y91" s="252">
        <v>0.22</v>
      </c>
      <c r="Z91" s="252">
        <v>0.22</v>
      </c>
      <c r="AA91" s="24"/>
      <c r="AB91" s="252">
        <v>0.22</v>
      </c>
      <c r="AC91" s="252">
        <v>0.2</v>
      </c>
      <c r="AD91" s="252">
        <v>0.2</v>
      </c>
      <c r="AE91" s="252">
        <v>0.2</v>
      </c>
      <c r="AF91" s="252">
        <v>0.2</v>
      </c>
      <c r="AG91" s="26"/>
      <c r="AH91" s="252">
        <v>0.2</v>
      </c>
    </row>
    <row r="92" spans="1:34" x14ac:dyDescent="0.2">
      <c r="A92" s="289"/>
      <c r="B92" s="479"/>
      <c r="C92" s="265"/>
      <c r="D92" s="251"/>
      <c r="E92" s="252"/>
      <c r="F92" s="252"/>
      <c r="G92" s="252"/>
      <c r="H92" s="252"/>
      <c r="I92" s="26"/>
      <c r="J92" s="252"/>
      <c r="K92" s="252"/>
      <c r="L92" s="252"/>
      <c r="M92" s="252"/>
      <c r="N92" s="252"/>
      <c r="O92" s="26"/>
      <c r="P92" s="252"/>
      <c r="Q92" s="252"/>
      <c r="R92" s="252"/>
      <c r="S92" s="252"/>
      <c r="T92" s="252"/>
      <c r="U92" s="26"/>
      <c r="V92" s="252"/>
      <c r="W92" s="252"/>
      <c r="X92" s="252"/>
      <c r="Y92" s="252"/>
      <c r="Z92" s="252"/>
      <c r="AA92" s="24"/>
      <c r="AB92" s="252"/>
      <c r="AC92" s="252"/>
      <c r="AD92" s="252"/>
      <c r="AE92" s="252"/>
      <c r="AF92" s="252"/>
      <c r="AG92" s="26"/>
      <c r="AH92" s="252"/>
    </row>
    <row r="93" spans="1:34" x14ac:dyDescent="0.2">
      <c r="A93" s="289"/>
      <c r="B93" s="479"/>
      <c r="C93" s="273" t="s">
        <v>8</v>
      </c>
      <c r="D93" s="272" t="s">
        <v>78</v>
      </c>
      <c r="E93" s="252">
        <v>0.25</v>
      </c>
      <c r="F93" s="252">
        <v>0.25</v>
      </c>
      <c r="G93" s="252">
        <v>0.25</v>
      </c>
      <c r="H93" s="252">
        <v>0.25</v>
      </c>
      <c r="I93" s="26"/>
      <c r="J93" s="252">
        <v>0.25</v>
      </c>
      <c r="K93" s="252">
        <v>0.24</v>
      </c>
      <c r="L93" s="252">
        <v>0.24</v>
      </c>
      <c r="M93" s="252">
        <v>0.24</v>
      </c>
      <c r="N93" s="252">
        <v>0.24</v>
      </c>
      <c r="O93" s="26"/>
      <c r="P93" s="252">
        <v>0.24</v>
      </c>
      <c r="Q93" s="252">
        <v>0.23</v>
      </c>
      <c r="R93" s="252">
        <v>0.23</v>
      </c>
      <c r="S93" s="252">
        <v>0.23</v>
      </c>
      <c r="T93" s="252">
        <v>0.23</v>
      </c>
      <c r="U93" s="26"/>
      <c r="V93" s="252">
        <v>0.23</v>
      </c>
      <c r="W93" s="252">
        <v>0.22</v>
      </c>
      <c r="X93" s="252">
        <v>0.22</v>
      </c>
      <c r="Y93" s="252">
        <v>0.22</v>
      </c>
      <c r="Z93" s="252">
        <v>0.22</v>
      </c>
      <c r="AA93" s="24"/>
      <c r="AB93" s="252">
        <v>0.22</v>
      </c>
      <c r="AC93" s="252">
        <v>0.2</v>
      </c>
      <c r="AD93" s="252">
        <v>0.2</v>
      </c>
      <c r="AE93" s="252">
        <v>0.2</v>
      </c>
      <c r="AF93" s="252">
        <v>0.2</v>
      </c>
      <c r="AG93" s="26"/>
      <c r="AH93" s="252">
        <v>0.2</v>
      </c>
    </row>
    <row r="94" spans="1:34" x14ac:dyDescent="0.2">
      <c r="A94" s="289"/>
      <c r="B94" s="479"/>
      <c r="C94" s="265"/>
      <c r="D94" s="251"/>
      <c r="E94" s="252"/>
      <c r="F94" s="252"/>
      <c r="G94" s="252"/>
      <c r="H94" s="252"/>
      <c r="I94" s="26"/>
      <c r="J94" s="252"/>
      <c r="K94" s="252"/>
      <c r="L94" s="252"/>
      <c r="M94" s="252"/>
      <c r="N94" s="252"/>
      <c r="O94" s="26"/>
      <c r="P94" s="252"/>
      <c r="Q94" s="252"/>
      <c r="R94" s="252"/>
      <c r="S94" s="252"/>
      <c r="T94" s="252"/>
      <c r="U94" s="26"/>
      <c r="V94" s="252"/>
      <c r="W94" s="252"/>
      <c r="X94" s="252"/>
      <c r="Y94" s="252"/>
      <c r="Z94" s="252"/>
      <c r="AA94" s="24"/>
      <c r="AB94" s="252"/>
      <c r="AC94" s="252"/>
      <c r="AD94" s="252"/>
      <c r="AE94" s="252"/>
      <c r="AF94" s="252"/>
      <c r="AG94" s="26"/>
      <c r="AH94" s="252"/>
    </row>
    <row r="95" spans="1:34" ht="38.25" customHeight="1" x14ac:dyDescent="0.2">
      <c r="A95" s="289"/>
      <c r="B95" s="284" t="s">
        <v>97</v>
      </c>
      <c r="C95" s="265"/>
      <c r="D95" s="24" t="s">
        <v>135</v>
      </c>
      <c r="E95" s="36">
        <v>7</v>
      </c>
      <c r="F95" s="36">
        <v>7</v>
      </c>
      <c r="G95" s="36">
        <v>7</v>
      </c>
      <c r="H95" s="36">
        <v>9</v>
      </c>
      <c r="I95" s="35"/>
      <c r="J95" s="35">
        <v>30</v>
      </c>
      <c r="K95" s="36">
        <v>7</v>
      </c>
      <c r="L95" s="36">
        <v>7</v>
      </c>
      <c r="M95" s="36">
        <v>7</v>
      </c>
      <c r="N95" s="36">
        <v>9</v>
      </c>
      <c r="O95" s="35"/>
      <c r="P95" s="35">
        <v>30</v>
      </c>
      <c r="Q95" s="36">
        <v>7</v>
      </c>
      <c r="R95" s="36">
        <v>7</v>
      </c>
      <c r="S95" s="36">
        <v>7</v>
      </c>
      <c r="T95" s="36">
        <v>9</v>
      </c>
      <c r="U95" s="35"/>
      <c r="V95" s="35">
        <v>30</v>
      </c>
      <c r="W95" s="36">
        <v>7</v>
      </c>
      <c r="X95" s="36">
        <v>7</v>
      </c>
      <c r="Y95" s="36">
        <v>7</v>
      </c>
      <c r="Z95" s="36">
        <v>9</v>
      </c>
      <c r="AA95" s="36"/>
      <c r="AB95" s="35">
        <v>30</v>
      </c>
      <c r="AC95" s="36">
        <v>7</v>
      </c>
      <c r="AD95" s="36">
        <v>7</v>
      </c>
      <c r="AE95" s="36">
        <v>7</v>
      </c>
      <c r="AF95" s="36">
        <v>9</v>
      </c>
      <c r="AG95" s="35"/>
      <c r="AH95" s="35">
        <v>30</v>
      </c>
    </row>
    <row r="96" spans="1:34" x14ac:dyDescent="0.2">
      <c r="A96" s="289"/>
      <c r="B96" s="284" t="s">
        <v>85</v>
      </c>
      <c r="C96" s="273" t="s">
        <v>6</v>
      </c>
      <c r="D96" s="272" t="s">
        <v>78</v>
      </c>
      <c r="E96" s="252">
        <v>0.5</v>
      </c>
      <c r="F96" s="252">
        <v>0.5</v>
      </c>
      <c r="G96" s="252">
        <v>0.5</v>
      </c>
      <c r="H96" s="252">
        <v>0.5</v>
      </c>
      <c r="I96" s="26"/>
      <c r="J96" s="252">
        <v>0.5</v>
      </c>
      <c r="K96" s="252">
        <v>0.49</v>
      </c>
      <c r="L96" s="252">
        <v>0.49</v>
      </c>
      <c r="M96" s="252">
        <v>0.49</v>
      </c>
      <c r="N96" s="252">
        <v>0.49</v>
      </c>
      <c r="O96" s="26"/>
      <c r="P96" s="252">
        <v>0.49</v>
      </c>
      <c r="Q96" s="252">
        <v>0.48</v>
      </c>
      <c r="R96" s="252">
        <v>0.48</v>
      </c>
      <c r="S96" s="252">
        <v>0.48</v>
      </c>
      <c r="T96" s="252">
        <v>0.48</v>
      </c>
      <c r="U96" s="26"/>
      <c r="V96" s="252">
        <v>0.48</v>
      </c>
      <c r="W96" s="252">
        <v>0.47</v>
      </c>
      <c r="X96" s="252">
        <v>0.47</v>
      </c>
      <c r="Y96" s="252">
        <v>0.47</v>
      </c>
      <c r="Z96" s="252">
        <v>0.47</v>
      </c>
      <c r="AA96" s="24"/>
      <c r="AB96" s="252">
        <v>0.47</v>
      </c>
      <c r="AC96" s="252">
        <v>0.45</v>
      </c>
      <c r="AD96" s="252">
        <v>0.45</v>
      </c>
      <c r="AE96" s="252">
        <v>0.45</v>
      </c>
      <c r="AF96" s="252">
        <v>0.45</v>
      </c>
      <c r="AG96" s="26"/>
      <c r="AH96" s="252">
        <v>0.45</v>
      </c>
    </row>
    <row r="97" spans="1:34" x14ac:dyDescent="0.2">
      <c r="A97" s="289"/>
      <c r="B97" s="284"/>
      <c r="C97" s="273"/>
      <c r="D97" s="251"/>
      <c r="E97" s="252"/>
      <c r="F97" s="252"/>
      <c r="G97" s="252"/>
      <c r="H97" s="252"/>
      <c r="I97" s="26"/>
      <c r="J97" s="252"/>
      <c r="K97" s="252"/>
      <c r="L97" s="252"/>
      <c r="M97" s="252"/>
      <c r="N97" s="252"/>
      <c r="O97" s="26"/>
      <c r="P97" s="252"/>
      <c r="Q97" s="252"/>
      <c r="R97" s="252"/>
      <c r="S97" s="252"/>
      <c r="T97" s="252"/>
      <c r="U97" s="26"/>
      <c r="V97" s="252"/>
      <c r="W97" s="252"/>
      <c r="X97" s="252"/>
      <c r="Y97" s="252"/>
      <c r="Z97" s="252"/>
      <c r="AA97" s="24"/>
      <c r="AB97" s="252"/>
      <c r="AC97" s="252"/>
      <c r="AD97" s="252"/>
      <c r="AE97" s="252"/>
      <c r="AF97" s="252"/>
      <c r="AG97" s="26"/>
      <c r="AH97" s="252"/>
    </row>
    <row r="98" spans="1:34" x14ac:dyDescent="0.2">
      <c r="A98" s="289"/>
      <c r="B98" s="284"/>
      <c r="C98" s="273" t="s">
        <v>7</v>
      </c>
      <c r="D98" s="272" t="s">
        <v>78</v>
      </c>
      <c r="E98" s="252">
        <v>0.25</v>
      </c>
      <c r="F98" s="252">
        <v>0.25</v>
      </c>
      <c r="G98" s="252">
        <v>0.25</v>
      </c>
      <c r="H98" s="252">
        <v>0.25</v>
      </c>
      <c r="I98" s="26"/>
      <c r="J98" s="252">
        <v>0.25</v>
      </c>
      <c r="K98" s="252">
        <v>0.24</v>
      </c>
      <c r="L98" s="252">
        <v>0.24</v>
      </c>
      <c r="M98" s="252">
        <v>0.24</v>
      </c>
      <c r="N98" s="252">
        <v>0.24</v>
      </c>
      <c r="O98" s="26"/>
      <c r="P98" s="252">
        <v>0.24</v>
      </c>
      <c r="Q98" s="252">
        <v>0.23</v>
      </c>
      <c r="R98" s="252">
        <v>0.23</v>
      </c>
      <c r="S98" s="252">
        <v>0.23</v>
      </c>
      <c r="T98" s="252">
        <v>0.23</v>
      </c>
      <c r="U98" s="26"/>
      <c r="V98" s="252">
        <v>0.23</v>
      </c>
      <c r="W98" s="252">
        <v>0.22</v>
      </c>
      <c r="X98" s="252">
        <v>0.22</v>
      </c>
      <c r="Y98" s="252">
        <v>0.22</v>
      </c>
      <c r="Z98" s="252">
        <v>0.22</v>
      </c>
      <c r="AA98" s="24"/>
      <c r="AB98" s="252">
        <v>0.22</v>
      </c>
      <c r="AC98" s="252">
        <v>0.2</v>
      </c>
      <c r="AD98" s="252">
        <v>0.2</v>
      </c>
      <c r="AE98" s="252">
        <v>0.2</v>
      </c>
      <c r="AF98" s="252">
        <v>0.2</v>
      </c>
      <c r="AG98" s="26"/>
      <c r="AH98" s="252">
        <v>0.2</v>
      </c>
    </row>
    <row r="99" spans="1:34" x14ac:dyDescent="0.2">
      <c r="A99" s="289"/>
      <c r="B99" s="284"/>
      <c r="C99" s="273"/>
      <c r="D99" s="251"/>
      <c r="E99" s="252"/>
      <c r="F99" s="252"/>
      <c r="G99" s="252"/>
      <c r="H99" s="252"/>
      <c r="I99" s="26"/>
      <c r="J99" s="252"/>
      <c r="K99" s="252"/>
      <c r="L99" s="252"/>
      <c r="M99" s="252"/>
      <c r="N99" s="252"/>
      <c r="O99" s="26"/>
      <c r="P99" s="252"/>
      <c r="Q99" s="252"/>
      <c r="R99" s="252"/>
      <c r="S99" s="252"/>
      <c r="T99" s="252"/>
      <c r="U99" s="26"/>
      <c r="V99" s="252"/>
      <c r="W99" s="252"/>
      <c r="X99" s="252"/>
      <c r="Y99" s="252"/>
      <c r="Z99" s="252"/>
      <c r="AA99" s="24"/>
      <c r="AB99" s="252"/>
      <c r="AC99" s="252"/>
      <c r="AD99" s="252"/>
      <c r="AE99" s="252"/>
      <c r="AF99" s="252"/>
      <c r="AG99" s="26"/>
      <c r="AH99" s="252"/>
    </row>
    <row r="100" spans="1:34" x14ac:dyDescent="0.2">
      <c r="A100" s="289"/>
      <c r="B100" s="284"/>
      <c r="C100" s="273" t="s">
        <v>8</v>
      </c>
      <c r="D100" s="272" t="s">
        <v>78</v>
      </c>
      <c r="E100" s="252">
        <v>0.3</v>
      </c>
      <c r="F100" s="252">
        <v>0.3</v>
      </c>
      <c r="G100" s="252">
        <v>0.3</v>
      </c>
      <c r="H100" s="252">
        <v>0.3</v>
      </c>
      <c r="I100" s="26"/>
      <c r="J100" s="252">
        <v>0.3</v>
      </c>
      <c r="K100" s="252">
        <v>0.28999999999999998</v>
      </c>
      <c r="L100" s="252">
        <v>0.28999999999999998</v>
      </c>
      <c r="M100" s="252">
        <v>0.28999999999999998</v>
      </c>
      <c r="N100" s="252">
        <v>0.28999999999999998</v>
      </c>
      <c r="O100" s="26"/>
      <c r="P100" s="252">
        <v>0.28999999999999998</v>
      </c>
      <c r="Q100" s="252">
        <v>0.28000000000000003</v>
      </c>
      <c r="R100" s="252">
        <v>0.28000000000000003</v>
      </c>
      <c r="S100" s="252">
        <v>0.28000000000000003</v>
      </c>
      <c r="T100" s="252">
        <v>0.28000000000000003</v>
      </c>
      <c r="U100" s="26"/>
      <c r="V100" s="252">
        <v>0.28000000000000003</v>
      </c>
      <c r="W100" s="252">
        <v>0.27</v>
      </c>
      <c r="X100" s="252">
        <v>0.27</v>
      </c>
      <c r="Y100" s="252">
        <v>0.27</v>
      </c>
      <c r="Z100" s="252">
        <v>0.27</v>
      </c>
      <c r="AA100" s="24"/>
      <c r="AB100" s="252">
        <v>0.27</v>
      </c>
      <c r="AC100" s="252">
        <v>0.25</v>
      </c>
      <c r="AD100" s="252">
        <v>0.25</v>
      </c>
      <c r="AE100" s="252">
        <v>0.25</v>
      </c>
      <c r="AF100" s="252">
        <v>0.25</v>
      </c>
      <c r="AG100" s="26"/>
      <c r="AH100" s="252">
        <v>0.25</v>
      </c>
    </row>
    <row r="101" spans="1:34" x14ac:dyDescent="0.2">
      <c r="A101" s="289"/>
      <c r="B101" s="284"/>
      <c r="C101" s="273"/>
      <c r="D101" s="251"/>
      <c r="E101" s="252"/>
      <c r="F101" s="252"/>
      <c r="G101" s="252"/>
      <c r="H101" s="252"/>
      <c r="I101" s="26"/>
      <c r="J101" s="252"/>
      <c r="K101" s="252"/>
      <c r="L101" s="252"/>
      <c r="M101" s="252"/>
      <c r="N101" s="252"/>
      <c r="O101" s="26"/>
      <c r="P101" s="252"/>
      <c r="Q101" s="252"/>
      <c r="R101" s="252"/>
      <c r="S101" s="252"/>
      <c r="T101" s="252"/>
      <c r="U101" s="26"/>
      <c r="V101" s="252"/>
      <c r="W101" s="252"/>
      <c r="X101" s="252"/>
      <c r="Y101" s="252"/>
      <c r="Z101" s="252"/>
      <c r="AA101" s="24"/>
      <c r="AB101" s="252"/>
      <c r="AC101" s="252"/>
      <c r="AD101" s="252"/>
      <c r="AE101" s="252"/>
      <c r="AF101" s="252"/>
      <c r="AG101" s="26"/>
      <c r="AH101" s="252"/>
    </row>
    <row r="102" spans="1:34" x14ac:dyDescent="0.2">
      <c r="A102" s="289"/>
      <c r="B102" s="284" t="s">
        <v>98</v>
      </c>
      <c r="C102" s="273" t="s">
        <v>6</v>
      </c>
      <c r="D102" s="272" t="s">
        <v>78</v>
      </c>
      <c r="E102" s="252">
        <v>0.25</v>
      </c>
      <c r="F102" s="252">
        <v>0.25</v>
      </c>
      <c r="G102" s="252">
        <v>0.25</v>
      </c>
      <c r="H102" s="252">
        <v>0.25</v>
      </c>
      <c r="I102" s="26"/>
      <c r="J102" s="252">
        <v>0.25</v>
      </c>
      <c r="K102" s="252">
        <v>0.24</v>
      </c>
      <c r="L102" s="252">
        <v>0.24</v>
      </c>
      <c r="M102" s="252">
        <v>0.24</v>
      </c>
      <c r="N102" s="252">
        <v>0.24</v>
      </c>
      <c r="O102" s="26"/>
      <c r="P102" s="252">
        <v>0.24</v>
      </c>
      <c r="Q102" s="252">
        <v>0.23</v>
      </c>
      <c r="R102" s="252">
        <v>0.23</v>
      </c>
      <c r="S102" s="252">
        <v>0.23</v>
      </c>
      <c r="T102" s="252">
        <v>0.23</v>
      </c>
      <c r="U102" s="26"/>
      <c r="V102" s="252">
        <v>0.23</v>
      </c>
      <c r="W102" s="252">
        <v>0.22</v>
      </c>
      <c r="X102" s="252">
        <v>0.22</v>
      </c>
      <c r="Y102" s="252">
        <v>0.22</v>
      </c>
      <c r="Z102" s="252">
        <v>0.22</v>
      </c>
      <c r="AA102" s="24"/>
      <c r="AB102" s="252">
        <v>0.22</v>
      </c>
      <c r="AC102" s="252">
        <v>0.2</v>
      </c>
      <c r="AD102" s="252">
        <v>0.2</v>
      </c>
      <c r="AE102" s="252">
        <v>0.2</v>
      </c>
      <c r="AF102" s="252">
        <v>0.2</v>
      </c>
      <c r="AG102" s="26"/>
      <c r="AH102" s="252">
        <v>0.2</v>
      </c>
    </row>
    <row r="103" spans="1:34" x14ac:dyDescent="0.2">
      <c r="A103" s="289"/>
      <c r="B103" s="265"/>
      <c r="C103" s="265"/>
      <c r="D103" s="251"/>
      <c r="E103" s="252"/>
      <c r="F103" s="252"/>
      <c r="G103" s="252"/>
      <c r="H103" s="252"/>
      <c r="I103" s="26"/>
      <c r="J103" s="252"/>
      <c r="K103" s="252"/>
      <c r="L103" s="252"/>
      <c r="M103" s="252"/>
      <c r="N103" s="252"/>
      <c r="O103" s="26"/>
      <c r="P103" s="252"/>
      <c r="Q103" s="252"/>
      <c r="R103" s="252"/>
      <c r="S103" s="252"/>
      <c r="T103" s="252"/>
      <c r="U103" s="26"/>
      <c r="V103" s="252"/>
      <c r="W103" s="252"/>
      <c r="X103" s="252"/>
      <c r="Y103" s="252"/>
      <c r="Z103" s="252"/>
      <c r="AA103" s="24"/>
      <c r="AB103" s="252"/>
      <c r="AC103" s="252"/>
      <c r="AD103" s="252"/>
      <c r="AE103" s="252"/>
      <c r="AF103" s="252"/>
      <c r="AG103" s="26"/>
      <c r="AH103" s="252"/>
    </row>
    <row r="104" spans="1:34" x14ac:dyDescent="0.2">
      <c r="A104" s="289"/>
      <c r="B104" s="265"/>
      <c r="C104" s="549" t="s">
        <v>7</v>
      </c>
      <c r="D104" s="272" t="s">
        <v>78</v>
      </c>
      <c r="E104" s="252">
        <v>0.25</v>
      </c>
      <c r="F104" s="252">
        <v>0.25</v>
      </c>
      <c r="G104" s="252">
        <v>0.25</v>
      </c>
      <c r="H104" s="252">
        <v>0.25</v>
      </c>
      <c r="I104" s="26"/>
      <c r="J104" s="252">
        <v>0.25</v>
      </c>
      <c r="K104" s="252">
        <v>0.24</v>
      </c>
      <c r="L104" s="252">
        <v>0.24</v>
      </c>
      <c r="M104" s="252">
        <v>0.24</v>
      </c>
      <c r="N104" s="252">
        <v>0.24</v>
      </c>
      <c r="O104" s="26"/>
      <c r="P104" s="252">
        <v>0.24</v>
      </c>
      <c r="Q104" s="252">
        <v>0.23</v>
      </c>
      <c r="R104" s="252">
        <v>0.23</v>
      </c>
      <c r="S104" s="252">
        <v>0.23</v>
      </c>
      <c r="T104" s="252">
        <v>0.23</v>
      </c>
      <c r="U104" s="26"/>
      <c r="V104" s="252">
        <v>0.23</v>
      </c>
      <c r="W104" s="252">
        <v>0.22</v>
      </c>
      <c r="X104" s="252">
        <v>0.22</v>
      </c>
      <c r="Y104" s="252">
        <v>0.22</v>
      </c>
      <c r="Z104" s="252">
        <v>0.22</v>
      </c>
      <c r="AA104" s="24"/>
      <c r="AB104" s="252">
        <v>0.22</v>
      </c>
      <c r="AC104" s="252">
        <v>0.2</v>
      </c>
      <c r="AD104" s="252">
        <v>0.2</v>
      </c>
      <c r="AE104" s="252">
        <v>0.2</v>
      </c>
      <c r="AF104" s="252">
        <v>0.2</v>
      </c>
      <c r="AG104" s="26"/>
      <c r="AH104" s="252">
        <v>0.2</v>
      </c>
    </row>
    <row r="105" spans="1:34" x14ac:dyDescent="0.2">
      <c r="A105" s="289"/>
      <c r="B105" s="265"/>
      <c r="C105" s="265"/>
      <c r="D105" s="251"/>
      <c r="E105" s="252"/>
      <c r="F105" s="252"/>
      <c r="G105" s="252"/>
      <c r="H105" s="252"/>
      <c r="I105" s="26"/>
      <c r="J105" s="252"/>
      <c r="K105" s="252"/>
      <c r="L105" s="252"/>
      <c r="M105" s="252"/>
      <c r="N105" s="252"/>
      <c r="O105" s="26"/>
      <c r="P105" s="252"/>
      <c r="Q105" s="252"/>
      <c r="R105" s="252"/>
      <c r="S105" s="252"/>
      <c r="T105" s="252"/>
      <c r="U105" s="26"/>
      <c r="V105" s="252"/>
      <c r="W105" s="252"/>
      <c r="X105" s="252"/>
      <c r="Y105" s="252"/>
      <c r="Z105" s="252"/>
      <c r="AA105" s="24"/>
      <c r="AB105" s="252"/>
      <c r="AC105" s="252"/>
      <c r="AD105" s="252"/>
      <c r="AE105" s="252"/>
      <c r="AF105" s="252"/>
      <c r="AG105" s="26"/>
      <c r="AH105" s="252"/>
    </row>
    <row r="106" spans="1:34" x14ac:dyDescent="0.2">
      <c r="A106" s="289"/>
      <c r="B106" s="265"/>
      <c r="C106" s="549" t="s">
        <v>8</v>
      </c>
      <c r="D106" s="272" t="s">
        <v>78</v>
      </c>
      <c r="E106" s="252">
        <v>0.25</v>
      </c>
      <c r="F106" s="252">
        <v>0.25</v>
      </c>
      <c r="G106" s="252">
        <v>0.25</v>
      </c>
      <c r="H106" s="252">
        <v>0.25</v>
      </c>
      <c r="I106" s="26"/>
      <c r="J106" s="252">
        <v>0.25</v>
      </c>
      <c r="K106" s="252">
        <v>0.24</v>
      </c>
      <c r="L106" s="252">
        <v>0.24</v>
      </c>
      <c r="M106" s="252">
        <v>0.24</v>
      </c>
      <c r="N106" s="252">
        <v>0.24</v>
      </c>
      <c r="O106" s="26"/>
      <c r="P106" s="252">
        <v>0.24</v>
      </c>
      <c r="Q106" s="252">
        <v>0.23</v>
      </c>
      <c r="R106" s="252">
        <v>0.23</v>
      </c>
      <c r="S106" s="252">
        <v>0.23</v>
      </c>
      <c r="T106" s="252">
        <v>0.23</v>
      </c>
      <c r="U106" s="26"/>
      <c r="V106" s="252">
        <v>0.23</v>
      </c>
      <c r="W106" s="252">
        <v>0.22</v>
      </c>
      <c r="X106" s="252">
        <v>0.22</v>
      </c>
      <c r="Y106" s="252">
        <v>0.22</v>
      </c>
      <c r="Z106" s="252">
        <v>0.22</v>
      </c>
      <c r="AA106" s="24"/>
      <c r="AB106" s="252">
        <v>0.22</v>
      </c>
      <c r="AC106" s="252">
        <v>0.2</v>
      </c>
      <c r="AD106" s="252">
        <v>0.2</v>
      </c>
      <c r="AE106" s="252">
        <v>0.2</v>
      </c>
      <c r="AF106" s="252">
        <v>0.2</v>
      </c>
      <c r="AG106" s="26"/>
      <c r="AH106" s="252">
        <v>0.2</v>
      </c>
    </row>
    <row r="107" spans="1:34" x14ac:dyDescent="0.2">
      <c r="A107" s="289"/>
      <c r="B107" s="265"/>
      <c r="C107" s="265"/>
      <c r="D107" s="251"/>
      <c r="E107" s="252"/>
      <c r="F107" s="252"/>
      <c r="G107" s="252"/>
      <c r="H107" s="252"/>
      <c r="I107" s="26"/>
      <c r="J107" s="252"/>
      <c r="K107" s="252"/>
      <c r="L107" s="252"/>
      <c r="M107" s="252"/>
      <c r="N107" s="252"/>
      <c r="O107" s="26"/>
      <c r="P107" s="252"/>
      <c r="Q107" s="252"/>
      <c r="R107" s="252"/>
      <c r="S107" s="252"/>
      <c r="T107" s="252"/>
      <c r="U107" s="26"/>
      <c r="V107" s="252"/>
      <c r="W107" s="252"/>
      <c r="X107" s="252"/>
      <c r="Y107" s="252"/>
      <c r="Z107" s="252"/>
      <c r="AA107" s="24"/>
      <c r="AB107" s="252"/>
      <c r="AC107" s="252"/>
      <c r="AD107" s="252"/>
      <c r="AE107" s="252"/>
      <c r="AF107" s="252"/>
      <c r="AG107" s="26"/>
      <c r="AH107" s="252"/>
    </row>
    <row r="108" spans="1:34" x14ac:dyDescent="0.2">
      <c r="A108" s="17" t="s">
        <v>21</v>
      </c>
      <c r="B108" s="305" t="s">
        <v>22</v>
      </c>
      <c r="C108" s="305"/>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row>
    <row r="109" spans="1:34" x14ac:dyDescent="0.2">
      <c r="A109" s="509"/>
      <c r="B109" s="49" t="s">
        <v>23</v>
      </c>
      <c r="C109" s="49"/>
      <c r="D109" s="24" t="s">
        <v>135</v>
      </c>
      <c r="E109" s="23">
        <v>1</v>
      </c>
      <c r="F109" s="23">
        <v>1</v>
      </c>
      <c r="G109" s="23">
        <v>1</v>
      </c>
      <c r="H109" s="23">
        <v>1</v>
      </c>
      <c r="I109" s="26"/>
      <c r="J109" s="41">
        <v>4</v>
      </c>
      <c r="K109" s="23">
        <v>1</v>
      </c>
      <c r="L109" s="23">
        <v>1</v>
      </c>
      <c r="M109" s="23">
        <v>1</v>
      </c>
      <c r="N109" s="23">
        <v>1</v>
      </c>
      <c r="O109" s="26"/>
      <c r="P109" s="41">
        <v>4</v>
      </c>
      <c r="Q109" s="23">
        <v>1</v>
      </c>
      <c r="R109" s="23">
        <v>1</v>
      </c>
      <c r="S109" s="23">
        <v>1</v>
      </c>
      <c r="T109" s="23">
        <v>1</v>
      </c>
      <c r="U109" s="26"/>
      <c r="V109" s="41">
        <v>4</v>
      </c>
      <c r="W109" s="23">
        <v>1</v>
      </c>
      <c r="X109" s="23">
        <v>1</v>
      </c>
      <c r="Y109" s="23">
        <v>1</v>
      </c>
      <c r="Z109" s="23">
        <v>1</v>
      </c>
      <c r="AA109" s="26"/>
      <c r="AB109" s="41">
        <v>4</v>
      </c>
      <c r="AC109" s="23">
        <v>1</v>
      </c>
      <c r="AD109" s="23">
        <v>1</v>
      </c>
      <c r="AE109" s="23">
        <v>1</v>
      </c>
      <c r="AF109" s="23">
        <v>1</v>
      </c>
      <c r="AG109" s="26"/>
      <c r="AH109" s="41">
        <v>4</v>
      </c>
    </row>
    <row r="110" spans="1:34" x14ac:dyDescent="0.2">
      <c r="A110" s="509"/>
      <c r="B110" s="549" t="s">
        <v>99</v>
      </c>
      <c r="C110" s="479"/>
      <c r="D110" s="272" t="s">
        <v>78</v>
      </c>
      <c r="E110" s="252">
        <v>0.33</v>
      </c>
      <c r="F110" s="252">
        <v>0.33</v>
      </c>
      <c r="G110" s="252">
        <v>0.33</v>
      </c>
      <c r="H110" s="252">
        <v>0.33</v>
      </c>
      <c r="I110" s="26"/>
      <c r="J110" s="252">
        <v>0.33</v>
      </c>
      <c r="K110" s="252">
        <v>0.33</v>
      </c>
      <c r="L110" s="252">
        <v>0.33</v>
      </c>
      <c r="M110" s="252">
        <v>0.33</v>
      </c>
      <c r="N110" s="252">
        <v>0.33</v>
      </c>
      <c r="O110" s="26"/>
      <c r="P110" s="252">
        <v>0.33</v>
      </c>
      <c r="Q110" s="252">
        <v>0.33</v>
      </c>
      <c r="R110" s="252">
        <v>0.33</v>
      </c>
      <c r="S110" s="252">
        <v>0.33</v>
      </c>
      <c r="T110" s="252">
        <v>0.33</v>
      </c>
      <c r="U110" s="26"/>
      <c r="V110" s="252">
        <v>0.33</v>
      </c>
      <c r="W110" s="252">
        <v>0.33</v>
      </c>
      <c r="X110" s="252">
        <v>0.33</v>
      </c>
      <c r="Y110" s="252">
        <v>0.33</v>
      </c>
      <c r="Z110" s="252">
        <v>0.33</v>
      </c>
      <c r="AA110" s="26"/>
      <c r="AB110" s="252">
        <v>0.33</v>
      </c>
      <c r="AC110" s="252">
        <v>0.33</v>
      </c>
      <c r="AD110" s="252">
        <v>0.33</v>
      </c>
      <c r="AE110" s="252">
        <v>0.33</v>
      </c>
      <c r="AF110" s="252">
        <v>0.33</v>
      </c>
      <c r="AG110" s="26"/>
      <c r="AH110" s="252">
        <v>0.33</v>
      </c>
    </row>
    <row r="111" spans="1:34" x14ac:dyDescent="0.2">
      <c r="A111" s="509"/>
      <c r="B111" s="479"/>
      <c r="C111" s="479"/>
      <c r="D111" s="251"/>
      <c r="E111" s="252"/>
      <c r="F111" s="252"/>
      <c r="G111" s="252"/>
      <c r="H111" s="252"/>
      <c r="I111" s="26"/>
      <c r="J111" s="252"/>
      <c r="K111" s="252"/>
      <c r="L111" s="252"/>
      <c r="M111" s="252"/>
      <c r="N111" s="252"/>
      <c r="O111" s="26"/>
      <c r="P111" s="252"/>
      <c r="Q111" s="252"/>
      <c r="R111" s="252"/>
      <c r="S111" s="252"/>
      <c r="T111" s="252"/>
      <c r="U111" s="26"/>
      <c r="V111" s="252"/>
      <c r="W111" s="252"/>
      <c r="X111" s="252"/>
      <c r="Y111" s="252"/>
      <c r="Z111" s="252"/>
      <c r="AA111" s="26"/>
      <c r="AB111" s="252"/>
      <c r="AC111" s="252"/>
      <c r="AD111" s="252"/>
      <c r="AE111" s="252"/>
      <c r="AF111" s="252"/>
      <c r="AG111" s="26"/>
      <c r="AH111" s="252"/>
    </row>
    <row r="112" spans="1:34" x14ac:dyDescent="0.2">
      <c r="A112" s="509"/>
      <c r="B112" s="284" t="s">
        <v>136</v>
      </c>
      <c r="C112" s="273" t="s">
        <v>6</v>
      </c>
      <c r="D112" s="272" t="s">
        <v>78</v>
      </c>
      <c r="E112" s="252">
        <v>0.5</v>
      </c>
      <c r="F112" s="252">
        <v>0.5</v>
      </c>
      <c r="G112" s="252">
        <v>0.5</v>
      </c>
      <c r="H112" s="252">
        <v>0.5</v>
      </c>
      <c r="I112" s="26"/>
      <c r="J112" s="252">
        <v>0.5</v>
      </c>
      <c r="K112" s="252">
        <v>0.49</v>
      </c>
      <c r="L112" s="252">
        <v>0.49</v>
      </c>
      <c r="M112" s="252">
        <v>0.49</v>
      </c>
      <c r="N112" s="252">
        <v>0.49</v>
      </c>
      <c r="O112" s="26"/>
      <c r="P112" s="252">
        <v>0.49</v>
      </c>
      <c r="Q112" s="252">
        <v>0.48</v>
      </c>
      <c r="R112" s="252">
        <v>0.48</v>
      </c>
      <c r="S112" s="252">
        <v>0.48</v>
      </c>
      <c r="T112" s="252">
        <v>0.48</v>
      </c>
      <c r="U112" s="26"/>
      <c r="V112" s="252">
        <v>0.48</v>
      </c>
      <c r="W112" s="252">
        <v>0.47</v>
      </c>
      <c r="X112" s="252">
        <v>0.47</v>
      </c>
      <c r="Y112" s="252">
        <v>0.47</v>
      </c>
      <c r="Z112" s="252">
        <v>0.47</v>
      </c>
      <c r="AA112" s="24"/>
      <c r="AB112" s="252">
        <v>0.47</v>
      </c>
      <c r="AC112" s="252">
        <v>0.45</v>
      </c>
      <c r="AD112" s="252">
        <v>0.45</v>
      </c>
      <c r="AE112" s="252">
        <v>0.45</v>
      </c>
      <c r="AF112" s="252">
        <v>0.45</v>
      </c>
      <c r="AG112" s="26"/>
      <c r="AH112" s="252">
        <v>0.45</v>
      </c>
    </row>
    <row r="113" spans="1:34" x14ac:dyDescent="0.2">
      <c r="A113" s="509"/>
      <c r="B113" s="284"/>
      <c r="C113" s="273"/>
      <c r="D113" s="251"/>
      <c r="E113" s="252"/>
      <c r="F113" s="252"/>
      <c r="G113" s="252"/>
      <c r="H113" s="252"/>
      <c r="I113" s="26"/>
      <c r="J113" s="252"/>
      <c r="K113" s="252"/>
      <c r="L113" s="252"/>
      <c r="M113" s="252"/>
      <c r="N113" s="252"/>
      <c r="O113" s="26"/>
      <c r="P113" s="252"/>
      <c r="Q113" s="252"/>
      <c r="R113" s="252"/>
      <c r="S113" s="252"/>
      <c r="T113" s="252"/>
      <c r="U113" s="26"/>
      <c r="V113" s="252"/>
      <c r="W113" s="252"/>
      <c r="X113" s="252"/>
      <c r="Y113" s="252"/>
      <c r="Z113" s="252"/>
      <c r="AA113" s="24"/>
      <c r="AB113" s="252"/>
      <c r="AC113" s="252"/>
      <c r="AD113" s="252"/>
      <c r="AE113" s="252"/>
      <c r="AF113" s="252"/>
      <c r="AG113" s="26"/>
      <c r="AH113" s="252"/>
    </row>
    <row r="114" spans="1:34" x14ac:dyDescent="0.2">
      <c r="A114" s="509"/>
      <c r="B114" s="284"/>
      <c r="C114" s="273" t="s">
        <v>7</v>
      </c>
      <c r="D114" s="272" t="s">
        <v>78</v>
      </c>
      <c r="E114" s="252">
        <v>0.25</v>
      </c>
      <c r="F114" s="252">
        <v>0.25</v>
      </c>
      <c r="G114" s="252">
        <v>0.25</v>
      </c>
      <c r="H114" s="252">
        <v>0.25</v>
      </c>
      <c r="I114" s="26"/>
      <c r="J114" s="252">
        <v>0.25</v>
      </c>
      <c r="K114" s="252">
        <v>0.24</v>
      </c>
      <c r="L114" s="252">
        <v>0.24</v>
      </c>
      <c r="M114" s="252">
        <v>0.24</v>
      </c>
      <c r="N114" s="252">
        <v>0.24</v>
      </c>
      <c r="O114" s="26"/>
      <c r="P114" s="252">
        <v>0.24</v>
      </c>
      <c r="Q114" s="252">
        <v>0.23</v>
      </c>
      <c r="R114" s="252">
        <v>0.23</v>
      </c>
      <c r="S114" s="252">
        <v>0.23</v>
      </c>
      <c r="T114" s="252">
        <v>0.23</v>
      </c>
      <c r="U114" s="26"/>
      <c r="V114" s="252">
        <v>0.23</v>
      </c>
      <c r="W114" s="252">
        <v>0.22</v>
      </c>
      <c r="X114" s="252">
        <v>0.22</v>
      </c>
      <c r="Y114" s="252">
        <v>0.22</v>
      </c>
      <c r="Z114" s="252">
        <v>0.22</v>
      </c>
      <c r="AA114" s="24"/>
      <c r="AB114" s="252">
        <v>0.22</v>
      </c>
      <c r="AC114" s="252">
        <v>0.2</v>
      </c>
      <c r="AD114" s="252">
        <v>0.2</v>
      </c>
      <c r="AE114" s="252">
        <v>0.2</v>
      </c>
      <c r="AF114" s="252">
        <v>0.2</v>
      </c>
      <c r="AG114" s="26"/>
      <c r="AH114" s="252">
        <v>0.2</v>
      </c>
    </row>
    <row r="115" spans="1:34" x14ac:dyDescent="0.2">
      <c r="A115" s="509"/>
      <c r="B115" s="284"/>
      <c r="C115" s="273"/>
      <c r="D115" s="251"/>
      <c r="E115" s="252"/>
      <c r="F115" s="252"/>
      <c r="G115" s="252"/>
      <c r="H115" s="252"/>
      <c r="I115" s="26"/>
      <c r="J115" s="252"/>
      <c r="K115" s="252"/>
      <c r="L115" s="252"/>
      <c r="M115" s="252"/>
      <c r="N115" s="252"/>
      <c r="O115" s="26"/>
      <c r="P115" s="252"/>
      <c r="Q115" s="252"/>
      <c r="R115" s="252"/>
      <c r="S115" s="252"/>
      <c r="T115" s="252"/>
      <c r="U115" s="26"/>
      <c r="V115" s="252"/>
      <c r="W115" s="252"/>
      <c r="X115" s="252"/>
      <c r="Y115" s="252"/>
      <c r="Z115" s="252"/>
      <c r="AA115" s="24"/>
      <c r="AB115" s="252"/>
      <c r="AC115" s="252"/>
      <c r="AD115" s="252"/>
      <c r="AE115" s="252"/>
      <c r="AF115" s="252"/>
      <c r="AG115" s="26"/>
      <c r="AH115" s="252"/>
    </row>
    <row r="116" spans="1:34" x14ac:dyDescent="0.2">
      <c r="A116" s="509"/>
      <c r="B116" s="284"/>
      <c r="C116" s="273" t="s">
        <v>8</v>
      </c>
      <c r="D116" s="272" t="s">
        <v>78</v>
      </c>
      <c r="E116" s="252">
        <v>0.3</v>
      </c>
      <c r="F116" s="252">
        <v>0.3</v>
      </c>
      <c r="G116" s="252">
        <v>0.3</v>
      </c>
      <c r="H116" s="252">
        <v>0.3</v>
      </c>
      <c r="I116" s="26"/>
      <c r="J116" s="252">
        <v>0.3</v>
      </c>
      <c r="K116" s="252">
        <v>0.28999999999999998</v>
      </c>
      <c r="L116" s="252">
        <v>0.28999999999999998</v>
      </c>
      <c r="M116" s="252">
        <v>0.28999999999999998</v>
      </c>
      <c r="N116" s="252">
        <v>0.28999999999999998</v>
      </c>
      <c r="O116" s="26"/>
      <c r="P116" s="252">
        <v>0.28999999999999998</v>
      </c>
      <c r="Q116" s="252">
        <v>0.28000000000000003</v>
      </c>
      <c r="R116" s="252">
        <v>0.28000000000000003</v>
      </c>
      <c r="S116" s="252">
        <v>0.28000000000000003</v>
      </c>
      <c r="T116" s="252">
        <v>0.28000000000000003</v>
      </c>
      <c r="U116" s="26"/>
      <c r="V116" s="252">
        <v>0.28000000000000003</v>
      </c>
      <c r="W116" s="252">
        <v>0.27</v>
      </c>
      <c r="X116" s="252">
        <v>0.27</v>
      </c>
      <c r="Y116" s="252">
        <v>0.27</v>
      </c>
      <c r="Z116" s="252">
        <v>0.27</v>
      </c>
      <c r="AA116" s="24"/>
      <c r="AB116" s="252">
        <v>0.27</v>
      </c>
      <c r="AC116" s="252">
        <v>0.25</v>
      </c>
      <c r="AD116" s="252">
        <v>0.25</v>
      </c>
      <c r="AE116" s="252">
        <v>0.25</v>
      </c>
      <c r="AF116" s="252">
        <v>0.25</v>
      </c>
      <c r="AG116" s="26"/>
      <c r="AH116" s="252">
        <v>0.25</v>
      </c>
    </row>
    <row r="117" spans="1:34" x14ac:dyDescent="0.2">
      <c r="A117" s="509"/>
      <c r="B117" s="284"/>
      <c r="C117" s="273"/>
      <c r="D117" s="251"/>
      <c r="E117" s="252"/>
      <c r="F117" s="252"/>
      <c r="G117" s="252"/>
      <c r="H117" s="252"/>
      <c r="I117" s="26"/>
      <c r="J117" s="252"/>
      <c r="K117" s="252"/>
      <c r="L117" s="252"/>
      <c r="M117" s="252"/>
      <c r="N117" s="252"/>
      <c r="O117" s="26"/>
      <c r="P117" s="252"/>
      <c r="Q117" s="252"/>
      <c r="R117" s="252"/>
      <c r="S117" s="252"/>
      <c r="T117" s="252"/>
      <c r="U117" s="26"/>
      <c r="V117" s="252"/>
      <c r="W117" s="252"/>
      <c r="X117" s="252"/>
      <c r="Y117" s="252"/>
      <c r="Z117" s="252"/>
      <c r="AA117" s="24"/>
      <c r="AB117" s="252"/>
      <c r="AC117" s="252"/>
      <c r="AD117" s="252"/>
      <c r="AE117" s="252"/>
      <c r="AF117" s="252"/>
      <c r="AG117" s="26"/>
      <c r="AH117" s="252"/>
    </row>
    <row r="118" spans="1:34" x14ac:dyDescent="0.2">
      <c r="A118" s="509"/>
      <c r="B118" s="284" t="s">
        <v>86</v>
      </c>
      <c r="C118" s="273" t="s">
        <v>6</v>
      </c>
      <c r="D118" s="272" t="s">
        <v>78</v>
      </c>
      <c r="E118" s="252">
        <v>0.1</v>
      </c>
      <c r="F118" s="252">
        <v>0.1</v>
      </c>
      <c r="G118" s="252">
        <v>0.1</v>
      </c>
      <c r="H118" s="252">
        <v>0.1</v>
      </c>
      <c r="I118" s="26"/>
      <c r="J118" s="252">
        <v>0.1</v>
      </c>
      <c r="K118" s="252">
        <v>0.1</v>
      </c>
      <c r="L118" s="252">
        <v>0.1</v>
      </c>
      <c r="M118" s="252">
        <v>0.1</v>
      </c>
      <c r="N118" s="252">
        <v>0.1</v>
      </c>
      <c r="O118" s="26"/>
      <c r="P118" s="252">
        <v>0.1</v>
      </c>
      <c r="Q118" s="252">
        <v>0.1</v>
      </c>
      <c r="R118" s="252">
        <v>0.1</v>
      </c>
      <c r="S118" s="252">
        <v>0.1</v>
      </c>
      <c r="T118" s="252">
        <v>0.1</v>
      </c>
      <c r="U118" s="26"/>
      <c r="V118" s="252">
        <v>0.1</v>
      </c>
      <c r="W118" s="252">
        <v>0.1</v>
      </c>
      <c r="X118" s="252">
        <v>0.1</v>
      </c>
      <c r="Y118" s="252">
        <v>0.1</v>
      </c>
      <c r="Z118" s="252">
        <v>0.1</v>
      </c>
      <c r="AA118" s="26"/>
      <c r="AB118" s="252">
        <v>0.1</v>
      </c>
      <c r="AC118" s="252">
        <v>0.1</v>
      </c>
      <c r="AD118" s="252">
        <v>0.1</v>
      </c>
      <c r="AE118" s="252">
        <v>0.1</v>
      </c>
      <c r="AF118" s="252">
        <v>0.1</v>
      </c>
      <c r="AG118" s="26"/>
      <c r="AH118" s="252">
        <v>0.1</v>
      </c>
    </row>
    <row r="119" spans="1:34" x14ac:dyDescent="0.2">
      <c r="A119" s="509"/>
      <c r="B119" s="284"/>
      <c r="C119" s="273"/>
      <c r="D119" s="251"/>
      <c r="E119" s="252"/>
      <c r="F119" s="252"/>
      <c r="G119" s="252"/>
      <c r="H119" s="252"/>
      <c r="I119" s="26"/>
      <c r="J119" s="252"/>
      <c r="K119" s="252"/>
      <c r="L119" s="252"/>
      <c r="M119" s="252"/>
      <c r="N119" s="252"/>
      <c r="O119" s="26"/>
      <c r="P119" s="252"/>
      <c r="Q119" s="252"/>
      <c r="R119" s="252"/>
      <c r="S119" s="252"/>
      <c r="T119" s="252"/>
      <c r="U119" s="26"/>
      <c r="V119" s="252"/>
      <c r="W119" s="252"/>
      <c r="X119" s="252"/>
      <c r="Y119" s="252"/>
      <c r="Z119" s="252"/>
      <c r="AA119" s="26"/>
      <c r="AB119" s="252"/>
      <c r="AC119" s="252"/>
      <c r="AD119" s="252"/>
      <c r="AE119" s="252"/>
      <c r="AF119" s="252"/>
      <c r="AG119" s="26"/>
      <c r="AH119" s="252"/>
    </row>
    <row r="120" spans="1:34" x14ac:dyDescent="0.2">
      <c r="A120" s="509"/>
      <c r="B120" s="284"/>
      <c r="C120" s="273" t="s">
        <v>7</v>
      </c>
      <c r="D120" s="272" t="s">
        <v>78</v>
      </c>
      <c r="E120" s="252">
        <v>0.1</v>
      </c>
      <c r="F120" s="252">
        <v>0.1</v>
      </c>
      <c r="G120" s="252">
        <v>0.1</v>
      </c>
      <c r="H120" s="252">
        <v>0.1</v>
      </c>
      <c r="I120" s="26"/>
      <c r="J120" s="252">
        <v>0.1</v>
      </c>
      <c r="K120" s="252">
        <v>0.1</v>
      </c>
      <c r="L120" s="252">
        <v>0.1</v>
      </c>
      <c r="M120" s="252">
        <v>0.1</v>
      </c>
      <c r="N120" s="252">
        <v>0.1</v>
      </c>
      <c r="O120" s="26"/>
      <c r="P120" s="252">
        <v>0.1</v>
      </c>
      <c r="Q120" s="252">
        <v>0.1</v>
      </c>
      <c r="R120" s="252">
        <v>0.1</v>
      </c>
      <c r="S120" s="252">
        <v>0.1</v>
      </c>
      <c r="T120" s="252">
        <v>0.1</v>
      </c>
      <c r="U120" s="26"/>
      <c r="V120" s="252">
        <v>0.1</v>
      </c>
      <c r="W120" s="252">
        <v>0.1</v>
      </c>
      <c r="X120" s="252">
        <v>0.1</v>
      </c>
      <c r="Y120" s="252">
        <v>0.1</v>
      </c>
      <c r="Z120" s="252">
        <v>0.1</v>
      </c>
      <c r="AA120" s="26"/>
      <c r="AB120" s="252">
        <v>0.1</v>
      </c>
      <c r="AC120" s="252">
        <v>0.1</v>
      </c>
      <c r="AD120" s="252">
        <v>0.1</v>
      </c>
      <c r="AE120" s="252">
        <v>0.1</v>
      </c>
      <c r="AF120" s="252">
        <v>0.1</v>
      </c>
      <c r="AG120" s="26"/>
      <c r="AH120" s="252">
        <v>0.1</v>
      </c>
    </row>
    <row r="121" spans="1:34" x14ac:dyDescent="0.2">
      <c r="A121" s="509"/>
      <c r="B121" s="284"/>
      <c r="C121" s="273"/>
      <c r="D121" s="251"/>
      <c r="E121" s="252"/>
      <c r="F121" s="252"/>
      <c r="G121" s="252"/>
      <c r="H121" s="252"/>
      <c r="I121" s="26"/>
      <c r="J121" s="252"/>
      <c r="K121" s="252"/>
      <c r="L121" s="252"/>
      <c r="M121" s="252"/>
      <c r="N121" s="252"/>
      <c r="O121" s="26"/>
      <c r="P121" s="252"/>
      <c r="Q121" s="252"/>
      <c r="R121" s="252"/>
      <c r="S121" s="252"/>
      <c r="T121" s="252"/>
      <c r="U121" s="26"/>
      <c r="V121" s="252"/>
      <c r="W121" s="252"/>
      <c r="X121" s="252"/>
      <c r="Y121" s="252"/>
      <c r="Z121" s="252"/>
      <c r="AA121" s="26"/>
      <c r="AB121" s="252"/>
      <c r="AC121" s="252"/>
      <c r="AD121" s="252"/>
      <c r="AE121" s="252"/>
      <c r="AF121" s="252"/>
      <c r="AG121" s="26"/>
      <c r="AH121" s="252"/>
    </row>
    <row r="122" spans="1:34" x14ac:dyDescent="0.2">
      <c r="A122" s="509"/>
      <c r="B122" s="284"/>
      <c r="C122" s="273" t="s">
        <v>8</v>
      </c>
      <c r="D122" s="272" t="s">
        <v>78</v>
      </c>
      <c r="E122" s="252">
        <v>0.1</v>
      </c>
      <c r="F122" s="252">
        <v>0.1</v>
      </c>
      <c r="G122" s="252">
        <v>0.1</v>
      </c>
      <c r="H122" s="252">
        <v>0.1</v>
      </c>
      <c r="I122" s="26"/>
      <c r="J122" s="252">
        <v>0.1</v>
      </c>
      <c r="K122" s="252">
        <v>0.1</v>
      </c>
      <c r="L122" s="252">
        <v>0.1</v>
      </c>
      <c r="M122" s="252">
        <v>0.1</v>
      </c>
      <c r="N122" s="252">
        <v>0.1</v>
      </c>
      <c r="O122" s="26"/>
      <c r="P122" s="252">
        <v>0.1</v>
      </c>
      <c r="Q122" s="252">
        <v>0.1</v>
      </c>
      <c r="R122" s="252">
        <v>0.1</v>
      </c>
      <c r="S122" s="252">
        <v>0.1</v>
      </c>
      <c r="T122" s="252">
        <v>0.1</v>
      </c>
      <c r="U122" s="26"/>
      <c r="V122" s="252">
        <v>0.1</v>
      </c>
      <c r="W122" s="252">
        <v>0.1</v>
      </c>
      <c r="X122" s="252">
        <v>0.1</v>
      </c>
      <c r="Y122" s="252">
        <v>0.1</v>
      </c>
      <c r="Z122" s="252">
        <v>0.1</v>
      </c>
      <c r="AA122" s="26"/>
      <c r="AB122" s="252">
        <v>0.1</v>
      </c>
      <c r="AC122" s="252">
        <v>0.1</v>
      </c>
      <c r="AD122" s="252">
        <v>0.1</v>
      </c>
      <c r="AE122" s="252">
        <v>0.1</v>
      </c>
      <c r="AF122" s="252">
        <v>0.1</v>
      </c>
      <c r="AG122" s="26"/>
      <c r="AH122" s="252">
        <v>0.1</v>
      </c>
    </row>
    <row r="123" spans="1:34" x14ac:dyDescent="0.2">
      <c r="A123" s="510"/>
      <c r="B123" s="284"/>
      <c r="C123" s="273"/>
      <c r="D123" s="251"/>
      <c r="E123" s="252"/>
      <c r="F123" s="252"/>
      <c r="G123" s="252"/>
      <c r="H123" s="252"/>
      <c r="I123" s="26"/>
      <c r="J123" s="252"/>
      <c r="K123" s="252"/>
      <c r="L123" s="252"/>
      <c r="M123" s="252"/>
      <c r="N123" s="252"/>
      <c r="O123" s="26"/>
      <c r="P123" s="252"/>
      <c r="Q123" s="252"/>
      <c r="R123" s="252"/>
      <c r="S123" s="252"/>
      <c r="T123" s="252"/>
      <c r="U123" s="26"/>
      <c r="V123" s="252"/>
      <c r="W123" s="252"/>
      <c r="X123" s="252"/>
      <c r="Y123" s="252"/>
      <c r="Z123" s="252"/>
      <c r="AA123" s="26"/>
      <c r="AB123" s="252"/>
      <c r="AC123" s="252"/>
      <c r="AD123" s="252"/>
      <c r="AE123" s="252"/>
      <c r="AF123" s="252"/>
      <c r="AG123" s="26"/>
      <c r="AH123" s="252"/>
    </row>
    <row r="124" spans="1:34" x14ac:dyDescent="0.2">
      <c r="A124" s="17" t="s">
        <v>24</v>
      </c>
      <c r="B124" s="279" t="s">
        <v>25</v>
      </c>
      <c r="C124" s="505"/>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2"/>
    </row>
    <row r="125" spans="1:34" x14ac:dyDescent="0.2">
      <c r="A125" s="289"/>
      <c r="B125" s="284" t="s">
        <v>137</v>
      </c>
      <c r="C125" s="273" t="s">
        <v>26</v>
      </c>
      <c r="D125" s="272" t="s">
        <v>78</v>
      </c>
      <c r="E125" s="255">
        <v>5.0000000000000001E-3</v>
      </c>
      <c r="F125" s="255">
        <v>5.0000000000000001E-3</v>
      </c>
      <c r="G125" s="255">
        <v>5.0000000000000001E-3</v>
      </c>
      <c r="H125" s="255">
        <v>5.0000000000000001E-3</v>
      </c>
      <c r="I125" s="516"/>
      <c r="J125" s="255">
        <v>5.0000000000000001E-3</v>
      </c>
      <c r="K125" s="255">
        <v>5.0000000000000001E-3</v>
      </c>
      <c r="L125" s="255">
        <v>5.0000000000000001E-3</v>
      </c>
      <c r="M125" s="255">
        <v>5.0000000000000001E-3</v>
      </c>
      <c r="N125" s="255">
        <v>5.0000000000000001E-3</v>
      </c>
      <c r="O125" s="516"/>
      <c r="P125" s="255">
        <v>5.0000000000000001E-3</v>
      </c>
      <c r="Q125" s="255">
        <v>5.0000000000000001E-3</v>
      </c>
      <c r="R125" s="255">
        <v>5.0000000000000001E-3</v>
      </c>
      <c r="S125" s="255">
        <v>5.0000000000000001E-3</v>
      </c>
      <c r="T125" s="255">
        <v>5.0000000000000001E-3</v>
      </c>
      <c r="U125" s="516"/>
      <c r="V125" s="255">
        <v>5.0000000000000001E-3</v>
      </c>
      <c r="W125" s="255">
        <v>5.0000000000000001E-3</v>
      </c>
      <c r="X125" s="255">
        <v>5.0000000000000001E-3</v>
      </c>
      <c r="Y125" s="255">
        <v>5.0000000000000001E-3</v>
      </c>
      <c r="Z125" s="255">
        <v>5.0000000000000001E-3</v>
      </c>
      <c r="AA125" s="516"/>
      <c r="AB125" s="255">
        <v>5.0000000000000001E-3</v>
      </c>
      <c r="AC125" s="255">
        <v>5.0000000000000001E-3</v>
      </c>
      <c r="AD125" s="255">
        <v>5.0000000000000001E-3</v>
      </c>
      <c r="AE125" s="255">
        <v>5.0000000000000001E-3</v>
      </c>
      <c r="AF125" s="255">
        <v>5.0000000000000001E-3</v>
      </c>
      <c r="AG125" s="516"/>
      <c r="AH125" s="255">
        <v>5.0000000000000001E-3</v>
      </c>
    </row>
    <row r="126" spans="1:34" x14ac:dyDescent="0.2">
      <c r="A126" s="289"/>
      <c r="B126" s="284"/>
      <c r="C126" s="273"/>
      <c r="D126" s="251"/>
      <c r="E126" s="412"/>
      <c r="F126" s="412"/>
      <c r="G126" s="412"/>
      <c r="H126" s="412"/>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row>
    <row r="127" spans="1:34" x14ac:dyDescent="0.2">
      <c r="A127" s="289"/>
      <c r="B127" s="284"/>
      <c r="C127" s="273" t="s">
        <v>7</v>
      </c>
      <c r="D127" s="272" t="s">
        <v>78</v>
      </c>
      <c r="E127" s="254">
        <v>0.02</v>
      </c>
      <c r="F127" s="254">
        <v>0.02</v>
      </c>
      <c r="G127" s="254">
        <v>0.02</v>
      </c>
      <c r="H127" s="254">
        <v>0.02</v>
      </c>
      <c r="I127" s="516"/>
      <c r="J127" s="254">
        <v>0.02</v>
      </c>
      <c r="K127" s="254">
        <v>0.02</v>
      </c>
      <c r="L127" s="254">
        <v>0.02</v>
      </c>
      <c r="M127" s="254">
        <v>0.02</v>
      </c>
      <c r="N127" s="254">
        <v>0.02</v>
      </c>
      <c r="O127" s="516"/>
      <c r="P127" s="254">
        <v>0.02</v>
      </c>
      <c r="Q127" s="254">
        <v>0.02</v>
      </c>
      <c r="R127" s="254">
        <v>0.02</v>
      </c>
      <c r="S127" s="254">
        <v>0.02</v>
      </c>
      <c r="T127" s="254">
        <v>0.02</v>
      </c>
      <c r="U127" s="516"/>
      <c r="V127" s="254">
        <v>0.02</v>
      </c>
      <c r="W127" s="254">
        <v>0.02</v>
      </c>
      <c r="X127" s="254">
        <v>0.02</v>
      </c>
      <c r="Y127" s="254">
        <v>0.02</v>
      </c>
      <c r="Z127" s="254">
        <v>0.02</v>
      </c>
      <c r="AA127" s="516"/>
      <c r="AB127" s="254">
        <v>0.02</v>
      </c>
      <c r="AC127" s="254">
        <v>0.02</v>
      </c>
      <c r="AD127" s="254">
        <v>0.02</v>
      </c>
      <c r="AE127" s="254">
        <v>0.02</v>
      </c>
      <c r="AF127" s="254">
        <v>0.02</v>
      </c>
      <c r="AG127" s="516"/>
      <c r="AH127" s="254">
        <v>0.02</v>
      </c>
    </row>
    <row r="128" spans="1:34" x14ac:dyDescent="0.2">
      <c r="A128" s="289"/>
      <c r="B128" s="284"/>
      <c r="C128" s="273"/>
      <c r="D128" s="251"/>
      <c r="E128" s="254"/>
      <c r="F128" s="254"/>
      <c r="G128" s="254"/>
      <c r="H128" s="254"/>
      <c r="I128" s="412"/>
      <c r="J128" s="254"/>
      <c r="K128" s="254"/>
      <c r="L128" s="254"/>
      <c r="M128" s="254"/>
      <c r="N128" s="254"/>
      <c r="O128" s="412"/>
      <c r="P128" s="254"/>
      <c r="Q128" s="254"/>
      <c r="R128" s="254"/>
      <c r="S128" s="254"/>
      <c r="T128" s="254"/>
      <c r="U128" s="412"/>
      <c r="V128" s="254"/>
      <c r="W128" s="254"/>
      <c r="X128" s="254"/>
      <c r="Y128" s="254"/>
      <c r="Z128" s="254"/>
      <c r="AA128" s="412"/>
      <c r="AB128" s="254"/>
      <c r="AC128" s="254"/>
      <c r="AD128" s="254"/>
      <c r="AE128" s="254"/>
      <c r="AF128" s="254"/>
      <c r="AG128" s="412"/>
      <c r="AH128" s="254"/>
    </row>
    <row r="129" spans="1:34" x14ac:dyDescent="0.2">
      <c r="A129" s="289"/>
      <c r="B129" s="284"/>
      <c r="C129" s="273" t="s">
        <v>8</v>
      </c>
      <c r="D129" s="272" t="s">
        <v>78</v>
      </c>
      <c r="E129" s="254">
        <v>1.4999999999999999E-2</v>
      </c>
      <c r="F129" s="254">
        <v>1.4999999999999999E-2</v>
      </c>
      <c r="G129" s="254">
        <v>1.4999999999999999E-2</v>
      </c>
      <c r="H129" s="254">
        <v>1.4999999999999999E-2</v>
      </c>
      <c r="I129" s="516"/>
      <c r="J129" s="254">
        <v>1.4999999999999999E-2</v>
      </c>
      <c r="K129" s="254">
        <v>1.4999999999999999E-2</v>
      </c>
      <c r="L129" s="254">
        <v>1.4999999999999999E-2</v>
      </c>
      <c r="M129" s="254">
        <v>1.4999999999999999E-2</v>
      </c>
      <c r="N129" s="254">
        <v>1.4999999999999999E-2</v>
      </c>
      <c r="O129" s="516"/>
      <c r="P129" s="254">
        <v>1.4999999999999999E-2</v>
      </c>
      <c r="Q129" s="254">
        <v>1.4999999999999999E-2</v>
      </c>
      <c r="R129" s="254">
        <v>1.4999999999999999E-2</v>
      </c>
      <c r="S129" s="254">
        <v>1.4999999999999999E-2</v>
      </c>
      <c r="T129" s="254">
        <v>1.4999999999999999E-2</v>
      </c>
      <c r="U129" s="516"/>
      <c r="V129" s="254">
        <v>1.4999999999999999E-2</v>
      </c>
      <c r="W129" s="254">
        <v>1.4999999999999999E-2</v>
      </c>
      <c r="X129" s="254">
        <v>1.4999999999999999E-2</v>
      </c>
      <c r="Y129" s="254">
        <v>1.4999999999999999E-2</v>
      </c>
      <c r="Z129" s="254">
        <v>1.4999999999999999E-2</v>
      </c>
      <c r="AA129" s="516"/>
      <c r="AB129" s="254">
        <v>1.4999999999999999E-2</v>
      </c>
      <c r="AC129" s="254">
        <v>1.4999999999999999E-2</v>
      </c>
      <c r="AD129" s="254">
        <v>1.4999999999999999E-2</v>
      </c>
      <c r="AE129" s="254">
        <v>1.4999999999999999E-2</v>
      </c>
      <c r="AF129" s="254">
        <v>1.4999999999999999E-2</v>
      </c>
      <c r="AG129" s="516"/>
      <c r="AH129" s="254">
        <v>1.4999999999999999E-2</v>
      </c>
    </row>
    <row r="130" spans="1:34" x14ac:dyDescent="0.2">
      <c r="A130" s="289"/>
      <c r="B130" s="284"/>
      <c r="C130" s="273"/>
      <c r="D130" s="251"/>
      <c r="E130" s="254"/>
      <c r="F130" s="254"/>
      <c r="G130" s="254"/>
      <c r="H130" s="254"/>
      <c r="I130" s="412"/>
      <c r="J130" s="254"/>
      <c r="K130" s="254"/>
      <c r="L130" s="254"/>
      <c r="M130" s="254"/>
      <c r="N130" s="254"/>
      <c r="O130" s="412"/>
      <c r="P130" s="254"/>
      <c r="Q130" s="254"/>
      <c r="R130" s="254"/>
      <c r="S130" s="254"/>
      <c r="T130" s="254"/>
      <c r="U130" s="412"/>
      <c r="V130" s="254"/>
      <c r="W130" s="254"/>
      <c r="X130" s="254"/>
      <c r="Y130" s="254"/>
      <c r="Z130" s="254"/>
      <c r="AA130" s="412"/>
      <c r="AB130" s="254"/>
      <c r="AC130" s="254"/>
      <c r="AD130" s="254"/>
      <c r="AE130" s="254"/>
      <c r="AF130" s="254"/>
      <c r="AG130" s="412"/>
      <c r="AH130" s="254"/>
    </row>
    <row r="131" spans="1:34" x14ac:dyDescent="0.2">
      <c r="A131" s="289"/>
      <c r="B131" s="284" t="s">
        <v>138</v>
      </c>
      <c r="C131" s="273" t="s">
        <v>26</v>
      </c>
      <c r="D131" s="272" t="s">
        <v>78</v>
      </c>
      <c r="E131" s="254">
        <v>5.0000000000000001E-3</v>
      </c>
      <c r="F131" s="254">
        <v>5.0000000000000001E-3</v>
      </c>
      <c r="G131" s="254">
        <v>5.0000000000000001E-3</v>
      </c>
      <c r="H131" s="254">
        <v>5.0000000000000001E-3</v>
      </c>
      <c r="I131" s="516"/>
      <c r="J131" s="254">
        <v>5.0000000000000001E-3</v>
      </c>
      <c r="K131" s="254">
        <v>5.0000000000000001E-3</v>
      </c>
      <c r="L131" s="254">
        <v>5.0000000000000001E-3</v>
      </c>
      <c r="M131" s="254">
        <v>5.0000000000000001E-3</v>
      </c>
      <c r="N131" s="254">
        <v>5.0000000000000001E-3</v>
      </c>
      <c r="O131" s="516"/>
      <c r="P131" s="254">
        <v>5.0000000000000001E-3</v>
      </c>
      <c r="Q131" s="254">
        <v>5.0000000000000001E-3</v>
      </c>
      <c r="R131" s="254">
        <v>5.0000000000000001E-3</v>
      </c>
      <c r="S131" s="254">
        <v>5.0000000000000001E-3</v>
      </c>
      <c r="T131" s="254">
        <v>5.0000000000000001E-3</v>
      </c>
      <c r="U131" s="516"/>
      <c r="V131" s="254">
        <v>5.0000000000000001E-3</v>
      </c>
      <c r="W131" s="254">
        <v>5.0000000000000001E-3</v>
      </c>
      <c r="X131" s="254">
        <v>5.0000000000000001E-3</v>
      </c>
      <c r="Y131" s="254">
        <v>5.0000000000000001E-3</v>
      </c>
      <c r="Z131" s="254">
        <v>5.0000000000000001E-3</v>
      </c>
      <c r="AA131" s="516"/>
      <c r="AB131" s="254">
        <v>5.0000000000000001E-3</v>
      </c>
      <c r="AC131" s="254">
        <v>5.0000000000000001E-3</v>
      </c>
      <c r="AD131" s="254">
        <v>5.0000000000000001E-3</v>
      </c>
      <c r="AE131" s="254">
        <v>5.0000000000000001E-3</v>
      </c>
      <c r="AF131" s="254">
        <v>5.0000000000000001E-3</v>
      </c>
      <c r="AG131" s="516"/>
      <c r="AH131" s="254">
        <v>5.0000000000000001E-3</v>
      </c>
    </row>
    <row r="132" spans="1:34" x14ac:dyDescent="0.2">
      <c r="A132" s="289"/>
      <c r="B132" s="284"/>
      <c r="C132" s="273"/>
      <c r="D132" s="251"/>
      <c r="E132" s="254"/>
      <c r="F132" s="254"/>
      <c r="G132" s="254"/>
      <c r="H132" s="254"/>
      <c r="I132" s="412"/>
      <c r="J132" s="254"/>
      <c r="K132" s="254"/>
      <c r="L132" s="254"/>
      <c r="M132" s="254"/>
      <c r="N132" s="254"/>
      <c r="O132" s="412"/>
      <c r="P132" s="254"/>
      <c r="Q132" s="254"/>
      <c r="R132" s="254"/>
      <c r="S132" s="254"/>
      <c r="T132" s="254"/>
      <c r="U132" s="412"/>
      <c r="V132" s="254"/>
      <c r="W132" s="254"/>
      <c r="X132" s="254"/>
      <c r="Y132" s="254"/>
      <c r="Z132" s="254"/>
      <c r="AA132" s="412"/>
      <c r="AB132" s="254"/>
      <c r="AC132" s="254"/>
      <c r="AD132" s="254"/>
      <c r="AE132" s="254"/>
      <c r="AF132" s="254"/>
      <c r="AG132" s="412"/>
      <c r="AH132" s="254"/>
    </row>
    <row r="133" spans="1:34" x14ac:dyDescent="0.2">
      <c r="A133" s="289"/>
      <c r="B133" s="284"/>
      <c r="C133" s="273" t="s">
        <v>7</v>
      </c>
      <c r="D133" s="272" t="s">
        <v>78</v>
      </c>
      <c r="E133" s="252">
        <v>0.02</v>
      </c>
      <c r="F133" s="252">
        <v>0.02</v>
      </c>
      <c r="G133" s="252">
        <v>0.02</v>
      </c>
      <c r="H133" s="252">
        <v>0.02</v>
      </c>
      <c r="I133" s="516"/>
      <c r="J133" s="252">
        <v>0.02</v>
      </c>
      <c r="K133" s="252">
        <v>0.02</v>
      </c>
      <c r="L133" s="252">
        <v>0.02</v>
      </c>
      <c r="M133" s="252">
        <v>0.02</v>
      </c>
      <c r="N133" s="252">
        <v>0.02</v>
      </c>
      <c r="O133" s="516"/>
      <c r="P133" s="252">
        <v>0.02</v>
      </c>
      <c r="Q133" s="252">
        <v>0.02</v>
      </c>
      <c r="R133" s="252">
        <v>0.02</v>
      </c>
      <c r="S133" s="252">
        <v>0.02</v>
      </c>
      <c r="T133" s="252">
        <v>0.02</v>
      </c>
      <c r="U133" s="516"/>
      <c r="V133" s="252">
        <v>0.02</v>
      </c>
      <c r="W133" s="252">
        <v>0.02</v>
      </c>
      <c r="X133" s="252">
        <v>0.02</v>
      </c>
      <c r="Y133" s="252">
        <v>0.02</v>
      </c>
      <c r="Z133" s="252">
        <v>0.02</v>
      </c>
      <c r="AA133" s="516"/>
      <c r="AB133" s="252">
        <v>0.02</v>
      </c>
      <c r="AC133" s="252">
        <v>0.02</v>
      </c>
      <c r="AD133" s="252">
        <v>0.02</v>
      </c>
      <c r="AE133" s="252">
        <v>0.02</v>
      </c>
      <c r="AF133" s="252">
        <v>0.02</v>
      </c>
      <c r="AG133" s="516"/>
      <c r="AH133" s="252">
        <v>0.02</v>
      </c>
    </row>
    <row r="134" spans="1:34" x14ac:dyDescent="0.2">
      <c r="A134" s="289"/>
      <c r="B134" s="284"/>
      <c r="C134" s="273"/>
      <c r="D134" s="251"/>
      <c r="E134" s="252"/>
      <c r="F134" s="252"/>
      <c r="G134" s="252"/>
      <c r="H134" s="252"/>
      <c r="I134" s="412"/>
      <c r="J134" s="252"/>
      <c r="K134" s="252"/>
      <c r="L134" s="252"/>
      <c r="M134" s="252"/>
      <c r="N134" s="252"/>
      <c r="O134" s="412"/>
      <c r="P134" s="252"/>
      <c r="Q134" s="252"/>
      <c r="R134" s="252"/>
      <c r="S134" s="252"/>
      <c r="T134" s="252"/>
      <c r="U134" s="412"/>
      <c r="V134" s="252"/>
      <c r="W134" s="252"/>
      <c r="X134" s="252"/>
      <c r="Y134" s="252"/>
      <c r="Z134" s="252"/>
      <c r="AA134" s="412"/>
      <c r="AB134" s="252"/>
      <c r="AC134" s="252"/>
      <c r="AD134" s="252"/>
      <c r="AE134" s="252"/>
      <c r="AF134" s="252"/>
      <c r="AG134" s="412"/>
      <c r="AH134" s="252"/>
    </row>
    <row r="135" spans="1:34" x14ac:dyDescent="0.2">
      <c r="A135" s="289"/>
      <c r="B135" s="284"/>
      <c r="C135" s="273" t="s">
        <v>8</v>
      </c>
      <c r="D135" s="272" t="s">
        <v>78</v>
      </c>
      <c r="E135" s="254">
        <v>1.4999999999999999E-2</v>
      </c>
      <c r="F135" s="254">
        <v>1.4999999999999999E-2</v>
      </c>
      <c r="G135" s="254">
        <v>1.4999999999999999E-2</v>
      </c>
      <c r="H135" s="254">
        <v>1.4999999999999999E-2</v>
      </c>
      <c r="I135" s="516"/>
      <c r="J135" s="254">
        <v>1.4999999999999999E-2</v>
      </c>
      <c r="K135" s="254">
        <v>1.4999999999999999E-2</v>
      </c>
      <c r="L135" s="254">
        <v>1.4999999999999999E-2</v>
      </c>
      <c r="M135" s="254">
        <v>1.4999999999999999E-2</v>
      </c>
      <c r="N135" s="254">
        <v>1.4999999999999999E-2</v>
      </c>
      <c r="O135" s="516"/>
      <c r="P135" s="254">
        <v>1.4999999999999999E-2</v>
      </c>
      <c r="Q135" s="254">
        <v>1.4999999999999999E-2</v>
      </c>
      <c r="R135" s="254">
        <v>1.4999999999999999E-2</v>
      </c>
      <c r="S135" s="254">
        <v>1.4999999999999999E-2</v>
      </c>
      <c r="T135" s="254">
        <v>1.4999999999999999E-2</v>
      </c>
      <c r="U135" s="516"/>
      <c r="V135" s="254">
        <v>1.4999999999999999E-2</v>
      </c>
      <c r="W135" s="254">
        <v>1.4999999999999999E-2</v>
      </c>
      <c r="X135" s="254">
        <v>1.4999999999999999E-2</v>
      </c>
      <c r="Y135" s="254">
        <v>1.4999999999999999E-2</v>
      </c>
      <c r="Z135" s="254">
        <v>1.4999999999999999E-2</v>
      </c>
      <c r="AA135" s="516"/>
      <c r="AB135" s="254">
        <v>1.4999999999999999E-2</v>
      </c>
      <c r="AC135" s="254">
        <v>1.4999999999999999E-2</v>
      </c>
      <c r="AD135" s="254">
        <v>1.4999999999999999E-2</v>
      </c>
      <c r="AE135" s="254">
        <v>1.4999999999999999E-2</v>
      </c>
      <c r="AF135" s="254">
        <v>1.4999999999999999E-2</v>
      </c>
      <c r="AG135" s="516"/>
      <c r="AH135" s="254">
        <v>1.4999999999999999E-2</v>
      </c>
    </row>
    <row r="136" spans="1:34" x14ac:dyDescent="0.2">
      <c r="A136" s="289"/>
      <c r="B136" s="284"/>
      <c r="C136" s="273"/>
      <c r="D136" s="251"/>
      <c r="E136" s="254"/>
      <c r="F136" s="254"/>
      <c r="G136" s="254"/>
      <c r="H136" s="254"/>
      <c r="I136" s="412"/>
      <c r="J136" s="254"/>
      <c r="K136" s="254"/>
      <c r="L136" s="254"/>
      <c r="M136" s="254"/>
      <c r="N136" s="254"/>
      <c r="O136" s="412"/>
      <c r="P136" s="254"/>
      <c r="Q136" s="254"/>
      <c r="R136" s="254"/>
      <c r="S136" s="254"/>
      <c r="T136" s="254"/>
      <c r="U136" s="412"/>
      <c r="V136" s="254"/>
      <c r="W136" s="254"/>
      <c r="X136" s="254"/>
      <c r="Y136" s="254"/>
      <c r="Z136" s="254"/>
      <c r="AA136" s="412"/>
      <c r="AB136" s="254"/>
      <c r="AC136" s="254"/>
      <c r="AD136" s="254"/>
      <c r="AE136" s="254"/>
      <c r="AF136" s="254"/>
      <c r="AG136" s="412"/>
      <c r="AH136" s="254"/>
    </row>
    <row r="137" spans="1:34" x14ac:dyDescent="0.2">
      <c r="A137" s="289"/>
      <c r="B137" s="284" t="s">
        <v>87</v>
      </c>
      <c r="C137" s="291" t="s">
        <v>6</v>
      </c>
      <c r="D137" s="272" t="s">
        <v>78</v>
      </c>
      <c r="E137" s="254">
        <v>2.0000000000000001E-4</v>
      </c>
      <c r="F137" s="254">
        <v>2.0000000000000001E-4</v>
      </c>
      <c r="G137" s="254">
        <v>2.0000000000000001E-4</v>
      </c>
      <c r="H137" s="254">
        <v>2.0000000000000001E-4</v>
      </c>
      <c r="I137" s="516"/>
      <c r="J137" s="254">
        <v>2.0000000000000001E-4</v>
      </c>
      <c r="K137" s="254">
        <v>2.0000000000000001E-4</v>
      </c>
      <c r="L137" s="254">
        <v>2.0000000000000001E-4</v>
      </c>
      <c r="M137" s="254">
        <v>2.0000000000000001E-4</v>
      </c>
      <c r="N137" s="254">
        <v>2.0000000000000001E-4</v>
      </c>
      <c r="O137" s="516"/>
      <c r="P137" s="254">
        <v>2.0000000000000001E-4</v>
      </c>
      <c r="Q137" s="254">
        <v>2.0000000000000001E-4</v>
      </c>
      <c r="R137" s="254">
        <v>2.0000000000000001E-4</v>
      </c>
      <c r="S137" s="254">
        <v>2.0000000000000001E-4</v>
      </c>
      <c r="T137" s="254">
        <v>2.0000000000000001E-4</v>
      </c>
      <c r="U137" s="516"/>
      <c r="V137" s="254">
        <v>2.0000000000000001E-4</v>
      </c>
      <c r="W137" s="254">
        <v>2.0000000000000001E-4</v>
      </c>
      <c r="X137" s="254">
        <v>2.0000000000000001E-4</v>
      </c>
      <c r="Y137" s="254">
        <v>2.0000000000000001E-4</v>
      </c>
      <c r="Z137" s="254">
        <v>2.0000000000000001E-4</v>
      </c>
      <c r="AA137" s="516"/>
      <c r="AB137" s="254">
        <v>2.0000000000000001E-4</v>
      </c>
      <c r="AC137" s="254">
        <v>2.0000000000000001E-4</v>
      </c>
      <c r="AD137" s="254">
        <v>2.0000000000000001E-4</v>
      </c>
      <c r="AE137" s="254">
        <v>2.0000000000000001E-4</v>
      </c>
      <c r="AF137" s="254">
        <v>2.0000000000000001E-4</v>
      </c>
      <c r="AG137" s="516"/>
      <c r="AH137" s="254">
        <v>2.0000000000000001E-4</v>
      </c>
    </row>
    <row r="138" spans="1:34" x14ac:dyDescent="0.2">
      <c r="A138" s="289"/>
      <c r="B138" s="284"/>
      <c r="C138" s="291"/>
      <c r="D138" s="251"/>
      <c r="E138" s="254"/>
      <c r="F138" s="254"/>
      <c r="G138" s="254"/>
      <c r="H138" s="254"/>
      <c r="I138" s="412"/>
      <c r="J138" s="254"/>
      <c r="K138" s="254"/>
      <c r="L138" s="254"/>
      <c r="M138" s="254"/>
      <c r="N138" s="254"/>
      <c r="O138" s="412"/>
      <c r="P138" s="254"/>
      <c r="Q138" s="254"/>
      <c r="R138" s="254"/>
      <c r="S138" s="254"/>
      <c r="T138" s="254"/>
      <c r="U138" s="412"/>
      <c r="V138" s="254"/>
      <c r="W138" s="254"/>
      <c r="X138" s="254"/>
      <c r="Y138" s="254"/>
      <c r="Z138" s="254"/>
      <c r="AA138" s="412"/>
      <c r="AB138" s="254"/>
      <c r="AC138" s="254"/>
      <c r="AD138" s="254"/>
      <c r="AE138" s="254"/>
      <c r="AF138" s="254"/>
      <c r="AG138" s="412"/>
      <c r="AH138" s="254"/>
    </row>
    <row r="139" spans="1:34" x14ac:dyDescent="0.2">
      <c r="A139" s="289"/>
      <c r="B139" s="284"/>
      <c r="C139" s="291" t="s">
        <v>7</v>
      </c>
      <c r="D139" s="272" t="s">
        <v>78</v>
      </c>
      <c r="E139" s="252">
        <v>0.01</v>
      </c>
      <c r="F139" s="252">
        <v>0.01</v>
      </c>
      <c r="G139" s="252">
        <v>0.01</v>
      </c>
      <c r="H139" s="252">
        <v>0.01</v>
      </c>
      <c r="I139" s="516"/>
      <c r="J139" s="252">
        <v>0.01</v>
      </c>
      <c r="K139" s="252">
        <v>0.01</v>
      </c>
      <c r="L139" s="252">
        <v>0.01</v>
      </c>
      <c r="M139" s="252">
        <v>0.01</v>
      </c>
      <c r="N139" s="252">
        <v>0.01</v>
      </c>
      <c r="O139" s="516"/>
      <c r="P139" s="252">
        <v>0.01</v>
      </c>
      <c r="Q139" s="252">
        <v>0.01</v>
      </c>
      <c r="R139" s="252">
        <v>0.01</v>
      </c>
      <c r="S139" s="252">
        <v>0.01</v>
      </c>
      <c r="T139" s="252">
        <v>0.01</v>
      </c>
      <c r="U139" s="516"/>
      <c r="V139" s="252">
        <v>0.01</v>
      </c>
      <c r="W139" s="252">
        <v>0.01</v>
      </c>
      <c r="X139" s="252">
        <v>0.01</v>
      </c>
      <c r="Y139" s="252">
        <v>0.01</v>
      </c>
      <c r="Z139" s="252">
        <v>0.01</v>
      </c>
      <c r="AA139" s="516"/>
      <c r="AB139" s="252">
        <v>0.01</v>
      </c>
      <c r="AC139" s="252">
        <v>0.01</v>
      </c>
      <c r="AD139" s="252">
        <v>0.01</v>
      </c>
      <c r="AE139" s="252">
        <v>0.01</v>
      </c>
      <c r="AF139" s="252">
        <v>0.01</v>
      </c>
      <c r="AG139" s="516"/>
      <c r="AH139" s="252">
        <v>0.01</v>
      </c>
    </row>
    <row r="140" spans="1:34" x14ac:dyDescent="0.2">
      <c r="A140" s="289"/>
      <c r="B140" s="284"/>
      <c r="C140" s="291"/>
      <c r="D140" s="251"/>
      <c r="E140" s="252"/>
      <c r="F140" s="252"/>
      <c r="G140" s="252"/>
      <c r="H140" s="252"/>
      <c r="I140" s="412"/>
      <c r="J140" s="252"/>
      <c r="K140" s="252"/>
      <c r="L140" s="252"/>
      <c r="M140" s="252"/>
      <c r="N140" s="252"/>
      <c r="O140" s="412"/>
      <c r="P140" s="252"/>
      <c r="Q140" s="252"/>
      <c r="R140" s="252"/>
      <c r="S140" s="252"/>
      <c r="T140" s="252"/>
      <c r="U140" s="412"/>
      <c r="V140" s="252"/>
      <c r="W140" s="252"/>
      <c r="X140" s="252"/>
      <c r="Y140" s="252"/>
      <c r="Z140" s="252"/>
      <c r="AA140" s="412"/>
      <c r="AB140" s="252"/>
      <c r="AC140" s="252"/>
      <c r="AD140" s="252"/>
      <c r="AE140" s="252"/>
      <c r="AF140" s="252"/>
      <c r="AG140" s="412"/>
      <c r="AH140" s="252"/>
    </row>
    <row r="141" spans="1:34" x14ac:dyDescent="0.2">
      <c r="A141" s="289"/>
      <c r="B141" s="284"/>
      <c r="C141" s="291" t="s">
        <v>8</v>
      </c>
      <c r="D141" s="272" t="s">
        <v>78</v>
      </c>
      <c r="E141" s="254">
        <v>5.0000000000000001E-3</v>
      </c>
      <c r="F141" s="254">
        <v>5.0000000000000001E-3</v>
      </c>
      <c r="G141" s="254">
        <v>5.0000000000000001E-3</v>
      </c>
      <c r="H141" s="254">
        <v>5.0000000000000001E-3</v>
      </c>
      <c r="I141" s="516"/>
      <c r="J141" s="254">
        <v>5.0000000000000001E-3</v>
      </c>
      <c r="K141" s="254">
        <v>5.0000000000000001E-3</v>
      </c>
      <c r="L141" s="254">
        <v>5.0000000000000001E-3</v>
      </c>
      <c r="M141" s="254">
        <v>5.0000000000000001E-3</v>
      </c>
      <c r="N141" s="254">
        <v>5.0000000000000001E-3</v>
      </c>
      <c r="O141" s="516"/>
      <c r="P141" s="254">
        <v>5.0000000000000001E-3</v>
      </c>
      <c r="Q141" s="254">
        <v>5.0000000000000001E-3</v>
      </c>
      <c r="R141" s="254">
        <v>5.0000000000000001E-3</v>
      </c>
      <c r="S141" s="254">
        <v>5.0000000000000001E-3</v>
      </c>
      <c r="T141" s="254">
        <v>5.0000000000000001E-3</v>
      </c>
      <c r="U141" s="516"/>
      <c r="V141" s="254">
        <v>5.0000000000000001E-3</v>
      </c>
      <c r="W141" s="254">
        <v>5.0000000000000001E-3</v>
      </c>
      <c r="X141" s="254">
        <v>5.0000000000000001E-3</v>
      </c>
      <c r="Y141" s="254">
        <v>5.0000000000000001E-3</v>
      </c>
      <c r="Z141" s="254">
        <v>5.0000000000000001E-3</v>
      </c>
      <c r="AA141" s="516"/>
      <c r="AB141" s="254">
        <v>5.0000000000000001E-3</v>
      </c>
      <c r="AC141" s="254">
        <v>5.0000000000000001E-3</v>
      </c>
      <c r="AD141" s="254">
        <v>5.0000000000000001E-3</v>
      </c>
      <c r="AE141" s="254">
        <v>5.0000000000000001E-3</v>
      </c>
      <c r="AF141" s="254">
        <v>5.0000000000000001E-3</v>
      </c>
      <c r="AG141" s="516"/>
      <c r="AH141" s="254">
        <v>5.0000000000000001E-3</v>
      </c>
    </row>
    <row r="142" spans="1:34" x14ac:dyDescent="0.2">
      <c r="A142" s="289"/>
      <c r="B142" s="284"/>
      <c r="C142" s="291"/>
      <c r="D142" s="251"/>
      <c r="E142" s="254"/>
      <c r="F142" s="254"/>
      <c r="G142" s="254"/>
      <c r="H142" s="254"/>
      <c r="I142" s="412"/>
      <c r="J142" s="254"/>
      <c r="K142" s="254"/>
      <c r="L142" s="254"/>
      <c r="M142" s="254"/>
      <c r="N142" s="254"/>
      <c r="O142" s="412"/>
      <c r="P142" s="254"/>
      <c r="Q142" s="254"/>
      <c r="R142" s="254"/>
      <c r="S142" s="254"/>
      <c r="T142" s="254"/>
      <c r="U142" s="412"/>
      <c r="V142" s="254"/>
      <c r="W142" s="254"/>
      <c r="X142" s="254"/>
      <c r="Y142" s="254"/>
      <c r="Z142" s="254"/>
      <c r="AA142" s="412"/>
      <c r="AB142" s="254"/>
      <c r="AC142" s="254"/>
      <c r="AD142" s="254"/>
      <c r="AE142" s="254"/>
      <c r="AF142" s="254"/>
      <c r="AG142" s="412"/>
      <c r="AH142" s="254"/>
    </row>
    <row r="143" spans="1:34" x14ac:dyDescent="0.2">
      <c r="A143" s="289"/>
      <c r="B143" s="284" t="s">
        <v>139</v>
      </c>
      <c r="C143" s="23" t="s">
        <v>6</v>
      </c>
      <c r="D143" s="24" t="s">
        <v>135</v>
      </c>
      <c r="E143" s="23">
        <v>2</v>
      </c>
      <c r="F143" s="23">
        <v>2</v>
      </c>
      <c r="G143" s="23">
        <v>2</v>
      </c>
      <c r="H143" s="23">
        <v>2</v>
      </c>
      <c r="I143" s="26"/>
      <c r="J143" s="41">
        <v>8</v>
      </c>
      <c r="K143" s="23">
        <v>2</v>
      </c>
      <c r="L143" s="23">
        <v>2</v>
      </c>
      <c r="M143" s="23">
        <v>2</v>
      </c>
      <c r="N143" s="23">
        <v>2</v>
      </c>
      <c r="O143" s="26"/>
      <c r="P143" s="41">
        <v>8</v>
      </c>
      <c r="Q143" s="23">
        <v>2</v>
      </c>
      <c r="R143" s="23">
        <v>2</v>
      </c>
      <c r="S143" s="23">
        <v>2</v>
      </c>
      <c r="T143" s="23">
        <v>2</v>
      </c>
      <c r="U143" s="26"/>
      <c r="V143" s="41">
        <v>8</v>
      </c>
      <c r="W143" s="23">
        <v>2</v>
      </c>
      <c r="X143" s="23">
        <v>2</v>
      </c>
      <c r="Y143" s="23">
        <v>2</v>
      </c>
      <c r="Z143" s="23">
        <v>2</v>
      </c>
      <c r="AA143" s="26"/>
      <c r="AB143" s="41">
        <v>8</v>
      </c>
      <c r="AC143" s="23">
        <v>2</v>
      </c>
      <c r="AD143" s="23">
        <v>2</v>
      </c>
      <c r="AE143" s="23">
        <v>2</v>
      </c>
      <c r="AF143" s="23">
        <v>2</v>
      </c>
      <c r="AG143" s="26"/>
      <c r="AH143" s="41">
        <v>8</v>
      </c>
    </row>
    <row r="144" spans="1:34" x14ac:dyDescent="0.2">
      <c r="A144" s="289"/>
      <c r="B144" s="284"/>
      <c r="C144" s="23" t="s">
        <v>7</v>
      </c>
      <c r="D144" s="24" t="s">
        <v>135</v>
      </c>
      <c r="E144" s="23">
        <v>0</v>
      </c>
      <c r="F144" s="23">
        <v>0</v>
      </c>
      <c r="G144" s="24">
        <v>0</v>
      </c>
      <c r="H144" s="24">
        <v>1</v>
      </c>
      <c r="I144" s="26"/>
      <c r="J144" s="41">
        <v>1</v>
      </c>
      <c r="K144" s="23">
        <v>0</v>
      </c>
      <c r="L144" s="23">
        <v>0</v>
      </c>
      <c r="M144" s="24">
        <v>0</v>
      </c>
      <c r="N144" s="24">
        <v>1</v>
      </c>
      <c r="O144" s="26"/>
      <c r="P144" s="41">
        <v>1</v>
      </c>
      <c r="Q144" s="23">
        <v>0</v>
      </c>
      <c r="R144" s="23">
        <v>0</v>
      </c>
      <c r="S144" s="24">
        <v>0</v>
      </c>
      <c r="T144" s="24">
        <v>1</v>
      </c>
      <c r="U144" s="26"/>
      <c r="V144" s="41">
        <v>1</v>
      </c>
      <c r="W144" s="23">
        <v>0</v>
      </c>
      <c r="X144" s="23">
        <v>0</v>
      </c>
      <c r="Y144" s="24">
        <v>0</v>
      </c>
      <c r="Z144" s="24">
        <v>1</v>
      </c>
      <c r="AA144" s="26"/>
      <c r="AB144" s="41">
        <v>1</v>
      </c>
      <c r="AC144" s="23">
        <v>0</v>
      </c>
      <c r="AD144" s="23">
        <v>0</v>
      </c>
      <c r="AE144" s="24">
        <v>0</v>
      </c>
      <c r="AF144" s="24">
        <v>1</v>
      </c>
      <c r="AG144" s="26"/>
      <c r="AH144" s="41">
        <v>1</v>
      </c>
    </row>
    <row r="145" spans="1:34" x14ac:dyDescent="0.2">
      <c r="A145" s="289"/>
      <c r="B145" s="284"/>
      <c r="C145" s="23" t="s">
        <v>8</v>
      </c>
      <c r="D145" s="24" t="s">
        <v>135</v>
      </c>
      <c r="E145" s="23">
        <v>1</v>
      </c>
      <c r="F145" s="23">
        <v>1</v>
      </c>
      <c r="G145" s="23">
        <v>1</v>
      </c>
      <c r="H145" s="23">
        <v>1</v>
      </c>
      <c r="I145" s="26"/>
      <c r="J145" s="41">
        <v>4</v>
      </c>
      <c r="K145" s="23">
        <v>1</v>
      </c>
      <c r="L145" s="23">
        <v>1</v>
      </c>
      <c r="M145" s="23">
        <v>1</v>
      </c>
      <c r="N145" s="23">
        <v>1</v>
      </c>
      <c r="O145" s="26"/>
      <c r="P145" s="41">
        <v>4</v>
      </c>
      <c r="Q145" s="23">
        <v>1</v>
      </c>
      <c r="R145" s="23">
        <v>1</v>
      </c>
      <c r="S145" s="23">
        <v>1</v>
      </c>
      <c r="T145" s="23">
        <v>1</v>
      </c>
      <c r="U145" s="26"/>
      <c r="V145" s="41">
        <v>4</v>
      </c>
      <c r="W145" s="23">
        <v>1</v>
      </c>
      <c r="X145" s="23">
        <v>1</v>
      </c>
      <c r="Y145" s="23">
        <v>1</v>
      </c>
      <c r="Z145" s="23">
        <v>1</v>
      </c>
      <c r="AA145" s="26"/>
      <c r="AB145" s="41">
        <v>4</v>
      </c>
      <c r="AC145" s="23">
        <v>1</v>
      </c>
      <c r="AD145" s="23">
        <v>1</v>
      </c>
      <c r="AE145" s="23">
        <v>1</v>
      </c>
      <c r="AF145" s="23">
        <v>1</v>
      </c>
      <c r="AG145" s="26"/>
      <c r="AH145" s="41">
        <v>4</v>
      </c>
    </row>
    <row r="146" spans="1:34" x14ac:dyDescent="0.2">
      <c r="A146" s="289"/>
      <c r="B146" s="284" t="s">
        <v>140</v>
      </c>
      <c r="C146" s="273" t="s">
        <v>26</v>
      </c>
      <c r="D146" s="272" t="s">
        <v>78</v>
      </c>
      <c r="E146" s="252">
        <v>0.5</v>
      </c>
      <c r="F146" s="252">
        <v>0.5</v>
      </c>
      <c r="G146" s="252">
        <v>0.5</v>
      </c>
      <c r="H146" s="252">
        <v>0.5</v>
      </c>
      <c r="I146" s="516"/>
      <c r="J146" s="252">
        <v>0.5</v>
      </c>
      <c r="K146" s="252">
        <v>0.5</v>
      </c>
      <c r="L146" s="252">
        <v>0.5</v>
      </c>
      <c r="M146" s="252">
        <v>0.5</v>
      </c>
      <c r="N146" s="252">
        <v>0.5</v>
      </c>
      <c r="O146" s="516"/>
      <c r="P146" s="252">
        <v>0.5</v>
      </c>
      <c r="Q146" s="252">
        <v>0.5</v>
      </c>
      <c r="R146" s="252">
        <v>0.5</v>
      </c>
      <c r="S146" s="252">
        <v>0.5</v>
      </c>
      <c r="T146" s="252">
        <v>0.5</v>
      </c>
      <c r="U146" s="516"/>
      <c r="V146" s="252">
        <v>0.5</v>
      </c>
      <c r="W146" s="252">
        <v>0.5</v>
      </c>
      <c r="X146" s="252">
        <v>0.5</v>
      </c>
      <c r="Y146" s="252">
        <v>0.5</v>
      </c>
      <c r="Z146" s="252">
        <v>0.5</v>
      </c>
      <c r="AA146" s="516"/>
      <c r="AB146" s="252">
        <v>0.5</v>
      </c>
      <c r="AC146" s="252">
        <v>0.5</v>
      </c>
      <c r="AD146" s="252">
        <v>0.5</v>
      </c>
      <c r="AE146" s="252">
        <v>0.5</v>
      </c>
      <c r="AF146" s="252">
        <v>0.5</v>
      </c>
      <c r="AG146" s="516"/>
      <c r="AH146" s="252">
        <v>0.5</v>
      </c>
    </row>
    <row r="147" spans="1:34" x14ac:dyDescent="0.2">
      <c r="A147" s="289"/>
      <c r="B147" s="284"/>
      <c r="C147" s="273"/>
      <c r="D147" s="251"/>
      <c r="E147" s="252"/>
      <c r="F147" s="252"/>
      <c r="G147" s="252"/>
      <c r="H147" s="252"/>
      <c r="I147" s="412"/>
      <c r="J147" s="252"/>
      <c r="K147" s="252"/>
      <c r="L147" s="252"/>
      <c r="M147" s="252"/>
      <c r="N147" s="252"/>
      <c r="O147" s="412"/>
      <c r="P147" s="252"/>
      <c r="Q147" s="252"/>
      <c r="R147" s="252"/>
      <c r="S147" s="252"/>
      <c r="T147" s="252"/>
      <c r="U147" s="412"/>
      <c r="V147" s="252"/>
      <c r="W147" s="252"/>
      <c r="X147" s="252"/>
      <c r="Y147" s="252"/>
      <c r="Z147" s="252"/>
      <c r="AA147" s="412"/>
      <c r="AB147" s="252"/>
      <c r="AC147" s="252"/>
      <c r="AD147" s="252"/>
      <c r="AE147" s="252"/>
      <c r="AF147" s="252"/>
      <c r="AG147" s="412"/>
      <c r="AH147" s="252"/>
    </row>
    <row r="148" spans="1:34" x14ac:dyDescent="0.2">
      <c r="A148" s="289"/>
      <c r="B148" s="284"/>
      <c r="C148" s="291" t="s">
        <v>7</v>
      </c>
      <c r="D148" s="272" t="s">
        <v>78</v>
      </c>
      <c r="E148" s="252">
        <v>1</v>
      </c>
      <c r="F148" s="252">
        <v>1</v>
      </c>
      <c r="G148" s="252">
        <v>1</v>
      </c>
      <c r="H148" s="252">
        <v>1</v>
      </c>
      <c r="I148" s="516"/>
      <c r="J148" s="252">
        <v>1</v>
      </c>
      <c r="K148" s="252">
        <v>1</v>
      </c>
      <c r="L148" s="252">
        <v>1</v>
      </c>
      <c r="M148" s="252">
        <v>1</v>
      </c>
      <c r="N148" s="252">
        <v>1</v>
      </c>
      <c r="O148" s="516"/>
      <c r="P148" s="252">
        <v>1</v>
      </c>
      <c r="Q148" s="252">
        <v>1</v>
      </c>
      <c r="R148" s="252">
        <v>1</v>
      </c>
      <c r="S148" s="252">
        <v>1</v>
      </c>
      <c r="T148" s="252">
        <v>1</v>
      </c>
      <c r="U148" s="516"/>
      <c r="V148" s="252">
        <v>1</v>
      </c>
      <c r="W148" s="252">
        <v>1</v>
      </c>
      <c r="X148" s="252">
        <v>1</v>
      </c>
      <c r="Y148" s="252">
        <v>1</v>
      </c>
      <c r="Z148" s="252">
        <v>1</v>
      </c>
      <c r="AA148" s="516"/>
      <c r="AB148" s="252">
        <v>1</v>
      </c>
      <c r="AC148" s="252">
        <v>1</v>
      </c>
      <c r="AD148" s="252">
        <v>1</v>
      </c>
      <c r="AE148" s="252">
        <v>1</v>
      </c>
      <c r="AF148" s="252">
        <v>1</v>
      </c>
      <c r="AG148" s="516"/>
      <c r="AH148" s="252">
        <v>1</v>
      </c>
    </row>
    <row r="149" spans="1:34" x14ac:dyDescent="0.2">
      <c r="A149" s="289"/>
      <c r="B149" s="284"/>
      <c r="C149" s="291"/>
      <c r="D149" s="251"/>
      <c r="E149" s="252"/>
      <c r="F149" s="252"/>
      <c r="G149" s="252"/>
      <c r="H149" s="252"/>
      <c r="I149" s="412"/>
      <c r="J149" s="252"/>
      <c r="K149" s="252"/>
      <c r="L149" s="252"/>
      <c r="M149" s="252"/>
      <c r="N149" s="252"/>
      <c r="O149" s="412"/>
      <c r="P149" s="252"/>
      <c r="Q149" s="252"/>
      <c r="R149" s="252"/>
      <c r="S149" s="252"/>
      <c r="T149" s="252"/>
      <c r="U149" s="412"/>
      <c r="V149" s="252"/>
      <c r="W149" s="252"/>
      <c r="X149" s="252"/>
      <c r="Y149" s="252"/>
      <c r="Z149" s="252"/>
      <c r="AA149" s="412"/>
      <c r="AB149" s="252"/>
      <c r="AC149" s="252"/>
      <c r="AD149" s="252"/>
      <c r="AE149" s="252"/>
      <c r="AF149" s="252"/>
      <c r="AG149" s="412"/>
      <c r="AH149" s="252"/>
    </row>
    <row r="150" spans="1:34" x14ac:dyDescent="0.2">
      <c r="A150" s="289"/>
      <c r="B150" s="284"/>
      <c r="C150" s="273" t="s">
        <v>8</v>
      </c>
      <c r="D150" s="272" t="s">
        <v>78</v>
      </c>
      <c r="E150" s="252">
        <v>0.5</v>
      </c>
      <c r="F150" s="252">
        <v>0.5</v>
      </c>
      <c r="G150" s="252">
        <v>0.5</v>
      </c>
      <c r="H150" s="252">
        <v>0.5</v>
      </c>
      <c r="I150" s="516"/>
      <c r="J150" s="252">
        <v>0.5</v>
      </c>
      <c r="K150" s="252">
        <v>0.5</v>
      </c>
      <c r="L150" s="252">
        <v>0.5</v>
      </c>
      <c r="M150" s="252">
        <v>0.5</v>
      </c>
      <c r="N150" s="252">
        <v>0.5</v>
      </c>
      <c r="O150" s="516"/>
      <c r="P150" s="252">
        <v>0.5</v>
      </c>
      <c r="Q150" s="252">
        <v>0.5</v>
      </c>
      <c r="R150" s="252">
        <v>0.5</v>
      </c>
      <c r="S150" s="252">
        <v>0.5</v>
      </c>
      <c r="T150" s="252">
        <v>0.5</v>
      </c>
      <c r="U150" s="516"/>
      <c r="V150" s="252">
        <v>0.5</v>
      </c>
      <c r="W150" s="252">
        <v>0.5</v>
      </c>
      <c r="X150" s="252">
        <v>0.5</v>
      </c>
      <c r="Y150" s="252">
        <v>0.5</v>
      </c>
      <c r="Z150" s="252">
        <v>0.5</v>
      </c>
      <c r="AA150" s="516"/>
      <c r="AB150" s="252">
        <v>0.5</v>
      </c>
      <c r="AC150" s="252">
        <v>0.5</v>
      </c>
      <c r="AD150" s="252">
        <v>0.5</v>
      </c>
      <c r="AE150" s="252">
        <v>0.5</v>
      </c>
      <c r="AF150" s="252">
        <v>0.5</v>
      </c>
      <c r="AG150" s="516"/>
      <c r="AH150" s="252">
        <v>0.5</v>
      </c>
    </row>
    <row r="151" spans="1:34" x14ac:dyDescent="0.2">
      <c r="A151" s="251"/>
      <c r="B151" s="284"/>
      <c r="C151" s="273"/>
      <c r="D151" s="251"/>
      <c r="E151" s="252"/>
      <c r="F151" s="252"/>
      <c r="G151" s="252"/>
      <c r="H151" s="252"/>
      <c r="I151" s="412"/>
      <c r="J151" s="252"/>
      <c r="K151" s="252"/>
      <c r="L151" s="252"/>
      <c r="M151" s="252"/>
      <c r="N151" s="252"/>
      <c r="O151" s="412"/>
      <c r="P151" s="252"/>
      <c r="Q151" s="252"/>
      <c r="R151" s="252"/>
      <c r="S151" s="252"/>
      <c r="T151" s="252"/>
      <c r="U151" s="412"/>
      <c r="V151" s="252"/>
      <c r="W151" s="252"/>
      <c r="X151" s="252"/>
      <c r="Y151" s="252"/>
      <c r="Z151" s="252"/>
      <c r="AA151" s="412"/>
      <c r="AB151" s="252"/>
      <c r="AC151" s="252"/>
      <c r="AD151" s="252"/>
      <c r="AE151" s="252"/>
      <c r="AF151" s="252"/>
      <c r="AG151" s="412"/>
      <c r="AH151" s="252"/>
    </row>
    <row r="152" spans="1:34" x14ac:dyDescent="0.2">
      <c r="A152" s="17">
        <v>1.6</v>
      </c>
      <c r="B152" s="300" t="s">
        <v>27</v>
      </c>
      <c r="C152" s="446"/>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2"/>
    </row>
    <row r="153" spans="1:34" x14ac:dyDescent="0.2">
      <c r="A153" s="273"/>
      <c r="B153" s="284" t="s">
        <v>126</v>
      </c>
      <c r="C153" s="289" t="s">
        <v>26</v>
      </c>
      <c r="D153" s="272" t="s">
        <v>78</v>
      </c>
      <c r="E153" s="252">
        <v>0.01</v>
      </c>
      <c r="F153" s="252">
        <v>0.01</v>
      </c>
      <c r="G153" s="252">
        <v>0.01</v>
      </c>
      <c r="H153" s="252">
        <v>0.01</v>
      </c>
      <c r="I153" s="29"/>
      <c r="J153" s="252">
        <v>0.01</v>
      </c>
      <c r="K153" s="252">
        <v>0.01</v>
      </c>
      <c r="L153" s="252">
        <v>0.01</v>
      </c>
      <c r="M153" s="252">
        <v>0.01</v>
      </c>
      <c r="N153" s="252">
        <v>0.01</v>
      </c>
      <c r="O153" s="26"/>
      <c r="P153" s="252">
        <v>0.01</v>
      </c>
      <c r="Q153" s="252">
        <v>0.01</v>
      </c>
      <c r="R153" s="252">
        <v>0.01</v>
      </c>
      <c r="S153" s="252">
        <v>0.01</v>
      </c>
      <c r="T153" s="252">
        <v>0.01</v>
      </c>
      <c r="U153" s="26"/>
      <c r="V153" s="252">
        <v>0.01</v>
      </c>
      <c r="W153" s="252">
        <v>0.01</v>
      </c>
      <c r="X153" s="252">
        <v>0.01</v>
      </c>
      <c r="Y153" s="252">
        <v>0.01</v>
      </c>
      <c r="Z153" s="252">
        <v>0.01</v>
      </c>
      <c r="AA153" s="26"/>
      <c r="AB153" s="252">
        <v>0.01</v>
      </c>
      <c r="AC153" s="252">
        <v>0.01</v>
      </c>
      <c r="AD153" s="252">
        <v>0.01</v>
      </c>
      <c r="AE153" s="252">
        <v>0.01</v>
      </c>
      <c r="AF153" s="252">
        <v>0.01</v>
      </c>
      <c r="AG153" s="26"/>
      <c r="AH153" s="252">
        <v>0.01</v>
      </c>
    </row>
    <row r="154" spans="1:34" x14ac:dyDescent="0.2">
      <c r="A154" s="273"/>
      <c r="B154" s="284"/>
      <c r="C154" s="289"/>
      <c r="D154" s="251"/>
      <c r="E154" s="252"/>
      <c r="F154" s="252"/>
      <c r="G154" s="252"/>
      <c r="H154" s="252"/>
      <c r="I154" s="26"/>
      <c r="J154" s="252"/>
      <c r="K154" s="252"/>
      <c r="L154" s="252"/>
      <c r="M154" s="252"/>
      <c r="N154" s="252"/>
      <c r="O154" s="26"/>
      <c r="P154" s="252"/>
      <c r="Q154" s="252"/>
      <c r="R154" s="252"/>
      <c r="S154" s="252"/>
      <c r="T154" s="252"/>
      <c r="U154" s="26"/>
      <c r="V154" s="252"/>
      <c r="W154" s="252"/>
      <c r="X154" s="252"/>
      <c r="Y154" s="252"/>
      <c r="Z154" s="252"/>
      <c r="AA154" s="26"/>
      <c r="AB154" s="252"/>
      <c r="AC154" s="252"/>
      <c r="AD154" s="252"/>
      <c r="AE154" s="252"/>
      <c r="AF154" s="252"/>
      <c r="AG154" s="26"/>
      <c r="AH154" s="252"/>
    </row>
    <row r="155" spans="1:34" x14ac:dyDescent="0.2">
      <c r="A155" s="273"/>
      <c r="B155" s="284"/>
      <c r="C155" s="289" t="s">
        <v>7</v>
      </c>
      <c r="D155" s="272" t="s">
        <v>78</v>
      </c>
      <c r="E155" s="252">
        <v>0.01</v>
      </c>
      <c r="F155" s="252">
        <v>0.01</v>
      </c>
      <c r="G155" s="252">
        <v>0.01</v>
      </c>
      <c r="H155" s="252">
        <v>0.01</v>
      </c>
      <c r="I155" s="26"/>
      <c r="J155" s="252">
        <v>0.01</v>
      </c>
      <c r="K155" s="252">
        <v>0.01</v>
      </c>
      <c r="L155" s="252">
        <v>0.01</v>
      </c>
      <c r="M155" s="252">
        <v>0.01</v>
      </c>
      <c r="N155" s="252">
        <v>0.01</v>
      </c>
      <c r="O155" s="26"/>
      <c r="P155" s="252">
        <v>0.01</v>
      </c>
      <c r="Q155" s="252">
        <v>0.01</v>
      </c>
      <c r="R155" s="252">
        <v>0.01</v>
      </c>
      <c r="S155" s="252">
        <v>0.01</v>
      </c>
      <c r="T155" s="252">
        <v>0.01</v>
      </c>
      <c r="U155" s="26"/>
      <c r="V155" s="252">
        <v>0.01</v>
      </c>
      <c r="W155" s="252">
        <v>0.01</v>
      </c>
      <c r="X155" s="252">
        <v>0.01</v>
      </c>
      <c r="Y155" s="252">
        <v>0.01</v>
      </c>
      <c r="Z155" s="252">
        <v>0.01</v>
      </c>
      <c r="AA155" s="26"/>
      <c r="AB155" s="252">
        <v>0.01</v>
      </c>
      <c r="AC155" s="252">
        <v>0.01</v>
      </c>
      <c r="AD155" s="252">
        <v>0.01</v>
      </c>
      <c r="AE155" s="252">
        <v>0.01</v>
      </c>
      <c r="AF155" s="252">
        <v>0.01</v>
      </c>
      <c r="AG155" s="26"/>
      <c r="AH155" s="252">
        <v>0.01</v>
      </c>
    </row>
    <row r="156" spans="1:34" x14ac:dyDescent="0.2">
      <c r="A156" s="273"/>
      <c r="B156" s="284"/>
      <c r="C156" s="289"/>
      <c r="D156" s="251"/>
      <c r="E156" s="252"/>
      <c r="F156" s="252"/>
      <c r="G156" s="252"/>
      <c r="H156" s="252"/>
      <c r="I156" s="26"/>
      <c r="J156" s="252"/>
      <c r="K156" s="252"/>
      <c r="L156" s="252"/>
      <c r="M156" s="252"/>
      <c r="N156" s="252"/>
      <c r="O156" s="26"/>
      <c r="P156" s="252"/>
      <c r="Q156" s="252"/>
      <c r="R156" s="252"/>
      <c r="S156" s="252"/>
      <c r="T156" s="252"/>
      <c r="U156" s="26"/>
      <c r="V156" s="252"/>
      <c r="W156" s="252"/>
      <c r="X156" s="252"/>
      <c r="Y156" s="252"/>
      <c r="Z156" s="252"/>
      <c r="AA156" s="26"/>
      <c r="AB156" s="252"/>
      <c r="AC156" s="252"/>
      <c r="AD156" s="252"/>
      <c r="AE156" s="252"/>
      <c r="AF156" s="252"/>
      <c r="AG156" s="26"/>
      <c r="AH156" s="252"/>
    </row>
    <row r="157" spans="1:34" x14ac:dyDescent="0.2">
      <c r="A157" s="273"/>
      <c r="B157" s="284"/>
      <c r="C157" s="289" t="s">
        <v>8</v>
      </c>
      <c r="D157" s="272" t="s">
        <v>78</v>
      </c>
      <c r="E157" s="252">
        <v>0.01</v>
      </c>
      <c r="F157" s="252">
        <v>0.01</v>
      </c>
      <c r="G157" s="252">
        <v>0.01</v>
      </c>
      <c r="H157" s="252">
        <v>0.01</v>
      </c>
      <c r="I157" s="26"/>
      <c r="J157" s="252">
        <v>0.01</v>
      </c>
      <c r="K157" s="252">
        <v>0.01</v>
      </c>
      <c r="L157" s="252">
        <v>0.01</v>
      </c>
      <c r="M157" s="252">
        <v>0.01</v>
      </c>
      <c r="N157" s="252">
        <v>0.01</v>
      </c>
      <c r="O157" s="26"/>
      <c r="P157" s="252">
        <v>0.01</v>
      </c>
      <c r="Q157" s="252">
        <v>0.01</v>
      </c>
      <c r="R157" s="252">
        <v>0.01</v>
      </c>
      <c r="S157" s="252">
        <v>0.01</v>
      </c>
      <c r="T157" s="252">
        <v>0.01</v>
      </c>
      <c r="U157" s="26"/>
      <c r="V157" s="252">
        <v>0.01</v>
      </c>
      <c r="W157" s="252">
        <v>0.01</v>
      </c>
      <c r="X157" s="252">
        <v>0.01</v>
      </c>
      <c r="Y157" s="252">
        <v>0.01</v>
      </c>
      <c r="Z157" s="252">
        <v>0.01</v>
      </c>
      <c r="AA157" s="26"/>
      <c r="AB157" s="252">
        <v>0.01</v>
      </c>
      <c r="AC157" s="252">
        <v>0.01</v>
      </c>
      <c r="AD157" s="252">
        <v>0.01</v>
      </c>
      <c r="AE157" s="252">
        <v>0.01</v>
      </c>
      <c r="AF157" s="252">
        <v>0.01</v>
      </c>
      <c r="AG157" s="26"/>
      <c r="AH157" s="252">
        <v>0.01</v>
      </c>
    </row>
    <row r="158" spans="1:34" x14ac:dyDescent="0.2">
      <c r="A158" s="273"/>
      <c r="B158" s="284"/>
      <c r="C158" s="289"/>
      <c r="D158" s="251"/>
      <c r="E158" s="252"/>
      <c r="F158" s="252"/>
      <c r="G158" s="252"/>
      <c r="H158" s="252"/>
      <c r="I158" s="26"/>
      <c r="J158" s="252"/>
      <c r="K158" s="252"/>
      <c r="L158" s="252"/>
      <c r="M158" s="252"/>
      <c r="N158" s="252"/>
      <c r="O158" s="26"/>
      <c r="P158" s="252"/>
      <c r="Q158" s="252"/>
      <c r="R158" s="252"/>
      <c r="S158" s="252"/>
      <c r="T158" s="252"/>
      <c r="U158" s="26"/>
      <c r="V158" s="252"/>
      <c r="W158" s="252"/>
      <c r="X158" s="252"/>
      <c r="Y158" s="252"/>
      <c r="Z158" s="252"/>
      <c r="AA158" s="26"/>
      <c r="AB158" s="252"/>
      <c r="AC158" s="252"/>
      <c r="AD158" s="252"/>
      <c r="AE158" s="252"/>
      <c r="AF158" s="252"/>
      <c r="AG158" s="26"/>
      <c r="AH158" s="252"/>
    </row>
    <row r="159" spans="1:34" x14ac:dyDescent="0.2">
      <c r="A159" s="273"/>
      <c r="B159" s="284" t="s">
        <v>127</v>
      </c>
      <c r="C159" s="273" t="s">
        <v>26</v>
      </c>
      <c r="D159" s="272" t="s">
        <v>78</v>
      </c>
      <c r="E159" s="252">
        <v>0.01</v>
      </c>
      <c r="F159" s="252">
        <v>0.01</v>
      </c>
      <c r="G159" s="252">
        <v>0.01</v>
      </c>
      <c r="H159" s="252">
        <v>0.01</v>
      </c>
      <c r="I159" s="26"/>
      <c r="J159" s="252">
        <v>0.01</v>
      </c>
      <c r="K159" s="252">
        <v>0.01</v>
      </c>
      <c r="L159" s="252">
        <v>0.01</v>
      </c>
      <c r="M159" s="252">
        <v>0.01</v>
      </c>
      <c r="N159" s="252">
        <v>0.01</v>
      </c>
      <c r="O159" s="26"/>
      <c r="P159" s="252">
        <v>0.01</v>
      </c>
      <c r="Q159" s="252">
        <v>0.01</v>
      </c>
      <c r="R159" s="252">
        <v>0.01</v>
      </c>
      <c r="S159" s="252">
        <v>0.01</v>
      </c>
      <c r="T159" s="252">
        <v>0.01</v>
      </c>
      <c r="U159" s="26"/>
      <c r="V159" s="252">
        <v>0.01</v>
      </c>
      <c r="W159" s="252">
        <v>0.01</v>
      </c>
      <c r="X159" s="252">
        <v>0.01</v>
      </c>
      <c r="Y159" s="252">
        <v>0.01</v>
      </c>
      <c r="Z159" s="252">
        <v>0.01</v>
      </c>
      <c r="AA159" s="26"/>
      <c r="AB159" s="252">
        <v>0.01</v>
      </c>
      <c r="AC159" s="252">
        <v>0.01</v>
      </c>
      <c r="AD159" s="252">
        <v>0.01</v>
      </c>
      <c r="AE159" s="252">
        <v>0.01</v>
      </c>
      <c r="AF159" s="252">
        <v>0.01</v>
      </c>
      <c r="AG159" s="26"/>
      <c r="AH159" s="252">
        <v>0.01</v>
      </c>
    </row>
    <row r="160" spans="1:34" x14ac:dyDescent="0.2">
      <c r="A160" s="273"/>
      <c r="B160" s="284"/>
      <c r="C160" s="273"/>
      <c r="D160" s="251"/>
      <c r="E160" s="252"/>
      <c r="F160" s="252"/>
      <c r="G160" s="252"/>
      <c r="H160" s="252"/>
      <c r="I160" s="26"/>
      <c r="J160" s="252"/>
      <c r="K160" s="252"/>
      <c r="L160" s="252"/>
      <c r="M160" s="252"/>
      <c r="N160" s="252"/>
      <c r="O160" s="26"/>
      <c r="P160" s="252"/>
      <c r="Q160" s="252"/>
      <c r="R160" s="252"/>
      <c r="S160" s="252"/>
      <c r="T160" s="252"/>
      <c r="U160" s="26"/>
      <c r="V160" s="252"/>
      <c r="W160" s="252"/>
      <c r="X160" s="252"/>
      <c r="Y160" s="252"/>
      <c r="Z160" s="252"/>
      <c r="AA160" s="26"/>
      <c r="AB160" s="252"/>
      <c r="AC160" s="252"/>
      <c r="AD160" s="252"/>
      <c r="AE160" s="252"/>
      <c r="AF160" s="252"/>
      <c r="AG160" s="26"/>
      <c r="AH160" s="252"/>
    </row>
    <row r="161" spans="1:34" x14ac:dyDescent="0.2">
      <c r="A161" s="273"/>
      <c r="B161" s="284"/>
      <c r="C161" s="273" t="s">
        <v>7</v>
      </c>
      <c r="D161" s="272" t="s">
        <v>78</v>
      </c>
      <c r="E161" s="252">
        <v>0.01</v>
      </c>
      <c r="F161" s="252">
        <v>0.01</v>
      </c>
      <c r="G161" s="252">
        <v>0.01</v>
      </c>
      <c r="H161" s="252">
        <v>0.01</v>
      </c>
      <c r="I161" s="26"/>
      <c r="J161" s="252">
        <v>0.01</v>
      </c>
      <c r="K161" s="252">
        <v>0.01</v>
      </c>
      <c r="L161" s="252">
        <v>0.01</v>
      </c>
      <c r="M161" s="252">
        <v>0.01</v>
      </c>
      <c r="N161" s="252">
        <v>0.01</v>
      </c>
      <c r="O161" s="26"/>
      <c r="P161" s="252">
        <v>0.01</v>
      </c>
      <c r="Q161" s="252">
        <v>0.01</v>
      </c>
      <c r="R161" s="252">
        <v>0.01</v>
      </c>
      <c r="S161" s="252">
        <v>0.01</v>
      </c>
      <c r="T161" s="252">
        <v>0.01</v>
      </c>
      <c r="U161" s="26"/>
      <c r="V161" s="252">
        <v>0.01</v>
      </c>
      <c r="W161" s="252">
        <v>0.01</v>
      </c>
      <c r="X161" s="252">
        <v>0.01</v>
      </c>
      <c r="Y161" s="252">
        <v>0.01</v>
      </c>
      <c r="Z161" s="252">
        <v>0.01</v>
      </c>
      <c r="AA161" s="26"/>
      <c r="AB161" s="252">
        <v>0.01</v>
      </c>
      <c r="AC161" s="252">
        <v>0.01</v>
      </c>
      <c r="AD161" s="252">
        <v>0.01</v>
      </c>
      <c r="AE161" s="252">
        <v>0.01</v>
      </c>
      <c r="AF161" s="252">
        <v>0.01</v>
      </c>
      <c r="AG161" s="26"/>
      <c r="AH161" s="252">
        <v>0.01</v>
      </c>
    </row>
    <row r="162" spans="1:34" x14ac:dyDescent="0.2">
      <c r="A162" s="273"/>
      <c r="B162" s="284"/>
      <c r="C162" s="273"/>
      <c r="D162" s="251"/>
      <c r="E162" s="252"/>
      <c r="F162" s="252"/>
      <c r="G162" s="252"/>
      <c r="H162" s="252"/>
      <c r="I162" s="26"/>
      <c r="J162" s="252"/>
      <c r="K162" s="252"/>
      <c r="L162" s="252"/>
      <c r="M162" s="252"/>
      <c r="N162" s="252"/>
      <c r="O162" s="26"/>
      <c r="P162" s="252"/>
      <c r="Q162" s="252"/>
      <c r="R162" s="252"/>
      <c r="S162" s="252"/>
      <c r="T162" s="252"/>
      <c r="U162" s="26"/>
      <c r="V162" s="252"/>
      <c r="W162" s="252"/>
      <c r="X162" s="252"/>
      <c r="Y162" s="252"/>
      <c r="Z162" s="252"/>
      <c r="AA162" s="26"/>
      <c r="AB162" s="252"/>
      <c r="AC162" s="252"/>
      <c r="AD162" s="252"/>
      <c r="AE162" s="252"/>
      <c r="AF162" s="252"/>
      <c r="AG162" s="26"/>
      <c r="AH162" s="252"/>
    </row>
    <row r="163" spans="1:34" x14ac:dyDescent="0.2">
      <c r="A163" s="273"/>
      <c r="B163" s="284"/>
      <c r="C163" s="273" t="s">
        <v>8</v>
      </c>
      <c r="D163" s="272" t="s">
        <v>78</v>
      </c>
      <c r="E163" s="252">
        <v>0.01</v>
      </c>
      <c r="F163" s="252">
        <v>0.01</v>
      </c>
      <c r="G163" s="252">
        <v>0.01</v>
      </c>
      <c r="H163" s="252">
        <v>0.01</v>
      </c>
      <c r="I163" s="26"/>
      <c r="J163" s="252">
        <v>0.01</v>
      </c>
      <c r="K163" s="252">
        <v>0.01</v>
      </c>
      <c r="L163" s="252">
        <v>0.01</v>
      </c>
      <c r="M163" s="252">
        <v>0.01</v>
      </c>
      <c r="N163" s="252">
        <v>0.01</v>
      </c>
      <c r="O163" s="26"/>
      <c r="P163" s="252">
        <v>0.01</v>
      </c>
      <c r="Q163" s="252">
        <v>0.01</v>
      </c>
      <c r="R163" s="252">
        <v>0.01</v>
      </c>
      <c r="S163" s="252">
        <v>0.01</v>
      </c>
      <c r="T163" s="252">
        <v>0.01</v>
      </c>
      <c r="U163" s="26"/>
      <c r="V163" s="252">
        <v>0.01</v>
      </c>
      <c r="W163" s="252">
        <v>0.01</v>
      </c>
      <c r="X163" s="252">
        <v>0.01</v>
      </c>
      <c r="Y163" s="252">
        <v>0.01</v>
      </c>
      <c r="Z163" s="252">
        <v>0.01</v>
      </c>
      <c r="AA163" s="26"/>
      <c r="AB163" s="252">
        <v>0.01</v>
      </c>
      <c r="AC163" s="252">
        <v>0.01</v>
      </c>
      <c r="AD163" s="252">
        <v>0.01</v>
      </c>
      <c r="AE163" s="252">
        <v>0.01</v>
      </c>
      <c r="AF163" s="252">
        <v>0.01</v>
      </c>
      <c r="AG163" s="26"/>
      <c r="AH163" s="252">
        <v>0.01</v>
      </c>
    </row>
    <row r="164" spans="1:34" x14ac:dyDescent="0.2">
      <c r="A164" s="273"/>
      <c r="B164" s="284"/>
      <c r="C164" s="273"/>
      <c r="D164" s="251"/>
      <c r="E164" s="252"/>
      <c r="F164" s="252"/>
      <c r="G164" s="252"/>
      <c r="H164" s="252"/>
      <c r="I164" s="26"/>
      <c r="J164" s="252"/>
      <c r="K164" s="252"/>
      <c r="L164" s="252"/>
      <c r="M164" s="252"/>
      <c r="N164" s="252"/>
      <c r="O164" s="26"/>
      <c r="P164" s="252"/>
      <c r="Q164" s="252"/>
      <c r="R164" s="252"/>
      <c r="S164" s="252"/>
      <c r="T164" s="252"/>
      <c r="U164" s="26"/>
      <c r="V164" s="252"/>
      <c r="W164" s="252"/>
      <c r="X164" s="252"/>
      <c r="Y164" s="252"/>
      <c r="Z164" s="252"/>
      <c r="AA164" s="26"/>
      <c r="AB164" s="252"/>
      <c r="AC164" s="252"/>
      <c r="AD164" s="252"/>
      <c r="AE164" s="252"/>
      <c r="AF164" s="252"/>
      <c r="AG164" s="26"/>
      <c r="AH164" s="252"/>
    </row>
    <row r="165" spans="1:34" x14ac:dyDescent="0.2">
      <c r="A165" s="273"/>
      <c r="B165" s="284" t="s">
        <v>128</v>
      </c>
      <c r="C165" s="291" t="s">
        <v>6</v>
      </c>
      <c r="D165" s="272" t="s">
        <v>78</v>
      </c>
      <c r="E165" s="252">
        <v>0</v>
      </c>
      <c r="F165" s="252">
        <v>0</v>
      </c>
      <c r="G165" s="252">
        <v>0</v>
      </c>
      <c r="H165" s="252">
        <v>0</v>
      </c>
      <c r="I165" s="26"/>
      <c r="J165" s="252">
        <v>0</v>
      </c>
      <c r="K165" s="252">
        <v>0</v>
      </c>
      <c r="L165" s="252">
        <v>0</v>
      </c>
      <c r="M165" s="252">
        <v>0</v>
      </c>
      <c r="N165" s="252">
        <v>0</v>
      </c>
      <c r="O165" s="26"/>
      <c r="P165" s="252">
        <v>0</v>
      </c>
      <c r="Q165" s="252">
        <v>0</v>
      </c>
      <c r="R165" s="252">
        <v>0</v>
      </c>
      <c r="S165" s="252">
        <v>0</v>
      </c>
      <c r="T165" s="252">
        <v>0</v>
      </c>
      <c r="U165" s="26"/>
      <c r="V165" s="252">
        <v>0</v>
      </c>
      <c r="W165" s="252">
        <v>0</v>
      </c>
      <c r="X165" s="252">
        <v>0</v>
      </c>
      <c r="Y165" s="252">
        <v>0</v>
      </c>
      <c r="Z165" s="252">
        <v>0</v>
      </c>
      <c r="AA165" s="26"/>
      <c r="AB165" s="252">
        <v>0</v>
      </c>
      <c r="AC165" s="252">
        <v>0</v>
      </c>
      <c r="AD165" s="252">
        <v>0</v>
      </c>
      <c r="AE165" s="252">
        <v>0</v>
      </c>
      <c r="AF165" s="252">
        <v>0</v>
      </c>
      <c r="AG165" s="26"/>
      <c r="AH165" s="252">
        <v>0</v>
      </c>
    </row>
    <row r="166" spans="1:34" x14ac:dyDescent="0.2">
      <c r="A166" s="273"/>
      <c r="B166" s="284"/>
      <c r="C166" s="291"/>
      <c r="D166" s="251"/>
      <c r="E166" s="252"/>
      <c r="F166" s="252"/>
      <c r="G166" s="252"/>
      <c r="H166" s="252"/>
      <c r="I166" s="26"/>
      <c r="J166" s="252"/>
      <c r="K166" s="252"/>
      <c r="L166" s="252"/>
      <c r="M166" s="252"/>
      <c r="N166" s="252"/>
      <c r="O166" s="26"/>
      <c r="P166" s="252"/>
      <c r="Q166" s="252"/>
      <c r="R166" s="252"/>
      <c r="S166" s="252"/>
      <c r="T166" s="252"/>
      <c r="U166" s="26"/>
      <c r="V166" s="252"/>
      <c r="W166" s="252"/>
      <c r="X166" s="252"/>
      <c r="Y166" s="252"/>
      <c r="Z166" s="252"/>
      <c r="AA166" s="26"/>
      <c r="AB166" s="252"/>
      <c r="AC166" s="252"/>
      <c r="AD166" s="252"/>
      <c r="AE166" s="252"/>
      <c r="AF166" s="252"/>
      <c r="AG166" s="26"/>
      <c r="AH166" s="252"/>
    </row>
    <row r="167" spans="1:34" x14ac:dyDescent="0.2">
      <c r="A167" s="273"/>
      <c r="B167" s="284"/>
      <c r="C167" s="291" t="s">
        <v>7</v>
      </c>
      <c r="D167" s="272" t="s">
        <v>78</v>
      </c>
      <c r="E167" s="252">
        <v>0</v>
      </c>
      <c r="F167" s="252">
        <v>0</v>
      </c>
      <c r="G167" s="252">
        <v>0</v>
      </c>
      <c r="H167" s="252">
        <v>0</v>
      </c>
      <c r="I167" s="26"/>
      <c r="J167" s="252">
        <v>0</v>
      </c>
      <c r="K167" s="252">
        <v>0</v>
      </c>
      <c r="L167" s="252">
        <v>0</v>
      </c>
      <c r="M167" s="252">
        <v>0</v>
      </c>
      <c r="N167" s="252">
        <v>0</v>
      </c>
      <c r="O167" s="26"/>
      <c r="P167" s="252">
        <v>0</v>
      </c>
      <c r="Q167" s="252">
        <v>0</v>
      </c>
      <c r="R167" s="252">
        <v>0</v>
      </c>
      <c r="S167" s="252">
        <v>0</v>
      </c>
      <c r="T167" s="252">
        <v>0</v>
      </c>
      <c r="U167" s="26"/>
      <c r="V167" s="252">
        <v>0</v>
      </c>
      <c r="W167" s="252">
        <v>0</v>
      </c>
      <c r="X167" s="252">
        <v>0</v>
      </c>
      <c r="Y167" s="252">
        <v>0</v>
      </c>
      <c r="Z167" s="252">
        <v>0</v>
      </c>
      <c r="AA167" s="26"/>
      <c r="AB167" s="252">
        <v>0</v>
      </c>
      <c r="AC167" s="252">
        <v>0</v>
      </c>
      <c r="AD167" s="252">
        <v>0</v>
      </c>
      <c r="AE167" s="252">
        <v>0</v>
      </c>
      <c r="AF167" s="252">
        <v>0</v>
      </c>
      <c r="AG167" s="26"/>
      <c r="AH167" s="252">
        <v>0</v>
      </c>
    </row>
    <row r="168" spans="1:34" x14ac:dyDescent="0.2">
      <c r="A168" s="273"/>
      <c r="B168" s="284"/>
      <c r="C168" s="291"/>
      <c r="D168" s="251"/>
      <c r="E168" s="252"/>
      <c r="F168" s="252"/>
      <c r="G168" s="252"/>
      <c r="H168" s="252"/>
      <c r="I168" s="26"/>
      <c r="J168" s="252"/>
      <c r="K168" s="252"/>
      <c r="L168" s="252"/>
      <c r="M168" s="252"/>
      <c r="N168" s="252"/>
      <c r="O168" s="26"/>
      <c r="P168" s="252"/>
      <c r="Q168" s="252"/>
      <c r="R168" s="252"/>
      <c r="S168" s="252"/>
      <c r="T168" s="252"/>
      <c r="U168" s="26"/>
      <c r="V168" s="252"/>
      <c r="W168" s="252"/>
      <c r="X168" s="252"/>
      <c r="Y168" s="252"/>
      <c r="Z168" s="252"/>
      <c r="AA168" s="26"/>
      <c r="AB168" s="252"/>
      <c r="AC168" s="252"/>
      <c r="AD168" s="252"/>
      <c r="AE168" s="252"/>
      <c r="AF168" s="252"/>
      <c r="AG168" s="26"/>
      <c r="AH168" s="252"/>
    </row>
    <row r="169" spans="1:34" x14ac:dyDescent="0.2">
      <c r="A169" s="273"/>
      <c r="B169" s="284"/>
      <c r="C169" s="291" t="s">
        <v>8</v>
      </c>
      <c r="D169" s="272" t="s">
        <v>78</v>
      </c>
      <c r="E169" s="252">
        <v>0</v>
      </c>
      <c r="F169" s="252">
        <v>0</v>
      </c>
      <c r="G169" s="252">
        <v>0</v>
      </c>
      <c r="H169" s="252">
        <v>0</v>
      </c>
      <c r="I169" s="26"/>
      <c r="J169" s="252">
        <v>0</v>
      </c>
      <c r="K169" s="252">
        <v>0</v>
      </c>
      <c r="L169" s="252">
        <v>0</v>
      </c>
      <c r="M169" s="252">
        <v>0</v>
      </c>
      <c r="N169" s="252">
        <v>0</v>
      </c>
      <c r="O169" s="26"/>
      <c r="P169" s="252">
        <v>0</v>
      </c>
      <c r="Q169" s="252">
        <v>0</v>
      </c>
      <c r="R169" s="252">
        <v>0</v>
      </c>
      <c r="S169" s="252">
        <v>0</v>
      </c>
      <c r="T169" s="252">
        <v>0</v>
      </c>
      <c r="U169" s="26"/>
      <c r="V169" s="252">
        <v>0</v>
      </c>
      <c r="W169" s="252">
        <v>0</v>
      </c>
      <c r="X169" s="252">
        <v>0</v>
      </c>
      <c r="Y169" s="252">
        <v>0</v>
      </c>
      <c r="Z169" s="252">
        <v>0</v>
      </c>
      <c r="AA169" s="26"/>
      <c r="AB169" s="252">
        <v>0</v>
      </c>
      <c r="AC169" s="252">
        <v>0</v>
      </c>
      <c r="AD169" s="252">
        <v>0</v>
      </c>
      <c r="AE169" s="252">
        <v>0</v>
      </c>
      <c r="AF169" s="252">
        <v>0</v>
      </c>
      <c r="AG169" s="26"/>
      <c r="AH169" s="252">
        <v>0</v>
      </c>
    </row>
    <row r="170" spans="1:34" x14ac:dyDescent="0.2">
      <c r="A170" s="273"/>
      <c r="B170" s="284"/>
      <c r="C170" s="291"/>
      <c r="D170" s="251"/>
      <c r="E170" s="252"/>
      <c r="F170" s="252"/>
      <c r="G170" s="252"/>
      <c r="H170" s="252"/>
      <c r="I170" s="26"/>
      <c r="J170" s="252"/>
      <c r="K170" s="252"/>
      <c r="L170" s="252"/>
      <c r="M170" s="252"/>
      <c r="N170" s="252"/>
      <c r="O170" s="26"/>
      <c r="P170" s="252"/>
      <c r="Q170" s="252"/>
      <c r="R170" s="252"/>
      <c r="S170" s="252"/>
      <c r="T170" s="252"/>
      <c r="U170" s="26"/>
      <c r="V170" s="252"/>
      <c r="W170" s="252"/>
      <c r="X170" s="252"/>
      <c r="Y170" s="252"/>
      <c r="Z170" s="252"/>
      <c r="AA170" s="26"/>
      <c r="AB170" s="252"/>
      <c r="AC170" s="252"/>
      <c r="AD170" s="252"/>
      <c r="AE170" s="252"/>
      <c r="AF170" s="252"/>
      <c r="AG170" s="26"/>
      <c r="AH170" s="252"/>
    </row>
    <row r="171" spans="1:34" x14ac:dyDescent="0.2">
      <c r="A171" s="273"/>
      <c r="B171" s="284" t="s">
        <v>88</v>
      </c>
      <c r="C171" s="291" t="s">
        <v>6</v>
      </c>
      <c r="D171" s="272" t="s">
        <v>78</v>
      </c>
      <c r="E171" s="252">
        <v>0</v>
      </c>
      <c r="F171" s="252">
        <v>0</v>
      </c>
      <c r="G171" s="252">
        <v>0</v>
      </c>
      <c r="H171" s="252">
        <v>0</v>
      </c>
      <c r="I171" s="26"/>
      <c r="J171" s="252">
        <v>0</v>
      </c>
      <c r="K171" s="252">
        <v>0</v>
      </c>
      <c r="L171" s="252">
        <v>0</v>
      </c>
      <c r="M171" s="252">
        <v>0</v>
      </c>
      <c r="N171" s="252">
        <v>0</v>
      </c>
      <c r="O171" s="26"/>
      <c r="P171" s="252">
        <v>0</v>
      </c>
      <c r="Q171" s="252">
        <v>0</v>
      </c>
      <c r="R171" s="252">
        <v>0</v>
      </c>
      <c r="S171" s="252">
        <v>0</v>
      </c>
      <c r="T171" s="252">
        <v>0</v>
      </c>
      <c r="U171" s="26"/>
      <c r="V171" s="252">
        <v>0</v>
      </c>
      <c r="W171" s="252">
        <v>0</v>
      </c>
      <c r="X171" s="252">
        <v>0</v>
      </c>
      <c r="Y171" s="252">
        <v>0</v>
      </c>
      <c r="Z171" s="252">
        <v>0</v>
      </c>
      <c r="AA171" s="26"/>
      <c r="AB171" s="252">
        <v>0</v>
      </c>
      <c r="AC171" s="252">
        <v>0</v>
      </c>
      <c r="AD171" s="252">
        <v>0</v>
      </c>
      <c r="AE171" s="252">
        <v>0</v>
      </c>
      <c r="AF171" s="252">
        <v>0</v>
      </c>
      <c r="AG171" s="26"/>
      <c r="AH171" s="252">
        <v>0</v>
      </c>
    </row>
    <row r="172" spans="1:34" x14ac:dyDescent="0.2">
      <c r="A172" s="449"/>
      <c r="B172" s="284"/>
      <c r="C172" s="291"/>
      <c r="D172" s="251"/>
      <c r="E172" s="252"/>
      <c r="F172" s="252"/>
      <c r="G172" s="252"/>
      <c r="H172" s="252"/>
      <c r="I172" s="26"/>
      <c r="J172" s="252"/>
      <c r="K172" s="252"/>
      <c r="L172" s="252"/>
      <c r="M172" s="252"/>
      <c r="N172" s="252"/>
      <c r="O172" s="26"/>
      <c r="P172" s="252"/>
      <c r="Q172" s="252"/>
      <c r="R172" s="252"/>
      <c r="S172" s="252"/>
      <c r="T172" s="252"/>
      <c r="U172" s="26"/>
      <c r="V172" s="252"/>
      <c r="W172" s="252"/>
      <c r="X172" s="252"/>
      <c r="Y172" s="252"/>
      <c r="Z172" s="252"/>
      <c r="AA172" s="26"/>
      <c r="AB172" s="252"/>
      <c r="AC172" s="252"/>
      <c r="AD172" s="252"/>
      <c r="AE172" s="252"/>
      <c r="AF172" s="252"/>
      <c r="AG172" s="26"/>
      <c r="AH172" s="252"/>
    </row>
    <row r="173" spans="1:34" x14ac:dyDescent="0.2">
      <c r="A173" s="449"/>
      <c r="B173" s="284"/>
      <c r="C173" s="291" t="s">
        <v>7</v>
      </c>
      <c r="D173" s="272" t="s">
        <v>78</v>
      </c>
      <c r="E173" s="252">
        <v>0</v>
      </c>
      <c r="F173" s="252">
        <v>0</v>
      </c>
      <c r="G173" s="252">
        <v>0</v>
      </c>
      <c r="H173" s="252">
        <v>0</v>
      </c>
      <c r="I173" s="26"/>
      <c r="J173" s="252">
        <v>0</v>
      </c>
      <c r="K173" s="252">
        <v>0</v>
      </c>
      <c r="L173" s="252">
        <v>0</v>
      </c>
      <c r="M173" s="252">
        <v>0</v>
      </c>
      <c r="N173" s="252">
        <v>0</v>
      </c>
      <c r="O173" s="26"/>
      <c r="P173" s="252">
        <v>0</v>
      </c>
      <c r="Q173" s="252">
        <v>0</v>
      </c>
      <c r="R173" s="252">
        <v>0</v>
      </c>
      <c r="S173" s="252">
        <v>0</v>
      </c>
      <c r="T173" s="252">
        <v>0</v>
      </c>
      <c r="U173" s="26"/>
      <c r="V173" s="252">
        <v>0</v>
      </c>
      <c r="W173" s="252">
        <v>0</v>
      </c>
      <c r="X173" s="252">
        <v>0</v>
      </c>
      <c r="Y173" s="252">
        <v>0</v>
      </c>
      <c r="Z173" s="252">
        <v>0</v>
      </c>
      <c r="AA173" s="26"/>
      <c r="AB173" s="252">
        <v>0</v>
      </c>
      <c r="AC173" s="252">
        <v>0</v>
      </c>
      <c r="AD173" s="252">
        <v>0</v>
      </c>
      <c r="AE173" s="252">
        <v>0</v>
      </c>
      <c r="AF173" s="252">
        <v>0</v>
      </c>
      <c r="AG173" s="26"/>
      <c r="AH173" s="252">
        <v>0</v>
      </c>
    </row>
    <row r="174" spans="1:34" x14ac:dyDescent="0.2">
      <c r="A174" s="449"/>
      <c r="B174" s="284"/>
      <c r="C174" s="291"/>
      <c r="D174" s="251"/>
      <c r="E174" s="252"/>
      <c r="F174" s="252"/>
      <c r="G174" s="252"/>
      <c r="H174" s="252"/>
      <c r="I174" s="26"/>
      <c r="J174" s="252"/>
      <c r="K174" s="252"/>
      <c r="L174" s="252"/>
      <c r="M174" s="252"/>
      <c r="N174" s="252"/>
      <c r="O174" s="26"/>
      <c r="P174" s="252"/>
      <c r="Q174" s="252"/>
      <c r="R174" s="252"/>
      <c r="S174" s="252"/>
      <c r="T174" s="252"/>
      <c r="U174" s="26"/>
      <c r="V174" s="252"/>
      <c r="W174" s="252"/>
      <c r="X174" s="252"/>
      <c r="Y174" s="252"/>
      <c r="Z174" s="252"/>
      <c r="AA174" s="26"/>
      <c r="AB174" s="252"/>
      <c r="AC174" s="252"/>
      <c r="AD174" s="252"/>
      <c r="AE174" s="252"/>
      <c r="AF174" s="252"/>
      <c r="AG174" s="26"/>
      <c r="AH174" s="252"/>
    </row>
    <row r="175" spans="1:34" x14ac:dyDescent="0.2">
      <c r="A175" s="449"/>
      <c r="B175" s="284"/>
      <c r="C175" s="291" t="s">
        <v>8</v>
      </c>
      <c r="D175" s="272" t="s">
        <v>78</v>
      </c>
      <c r="E175" s="252">
        <v>0</v>
      </c>
      <c r="F175" s="252">
        <v>0</v>
      </c>
      <c r="G175" s="252">
        <v>0</v>
      </c>
      <c r="H175" s="252">
        <v>0</v>
      </c>
      <c r="I175" s="26"/>
      <c r="J175" s="252">
        <v>0</v>
      </c>
      <c r="K175" s="252">
        <v>0</v>
      </c>
      <c r="L175" s="252">
        <v>0</v>
      </c>
      <c r="M175" s="252">
        <v>0</v>
      </c>
      <c r="N175" s="252">
        <v>0</v>
      </c>
      <c r="O175" s="26"/>
      <c r="P175" s="252">
        <v>0</v>
      </c>
      <c r="Q175" s="252">
        <v>0</v>
      </c>
      <c r="R175" s="252">
        <v>0</v>
      </c>
      <c r="S175" s="252">
        <v>0</v>
      </c>
      <c r="T175" s="252">
        <v>0</v>
      </c>
      <c r="U175" s="26"/>
      <c r="V175" s="252">
        <v>0</v>
      </c>
      <c r="W175" s="252">
        <v>0</v>
      </c>
      <c r="X175" s="252">
        <v>0</v>
      </c>
      <c r="Y175" s="252">
        <v>0</v>
      </c>
      <c r="Z175" s="252">
        <v>0</v>
      </c>
      <c r="AA175" s="26"/>
      <c r="AB175" s="252">
        <v>0</v>
      </c>
      <c r="AC175" s="252">
        <v>0</v>
      </c>
      <c r="AD175" s="252">
        <v>0</v>
      </c>
      <c r="AE175" s="252">
        <v>0</v>
      </c>
      <c r="AF175" s="252">
        <v>0</v>
      </c>
      <c r="AG175" s="26"/>
      <c r="AH175" s="252">
        <v>0</v>
      </c>
    </row>
    <row r="176" spans="1:34" x14ac:dyDescent="0.2">
      <c r="A176" s="449"/>
      <c r="B176" s="284"/>
      <c r="C176" s="291"/>
      <c r="D176" s="251"/>
      <c r="E176" s="252"/>
      <c r="F176" s="252"/>
      <c r="G176" s="252"/>
      <c r="H176" s="252"/>
      <c r="I176" s="26"/>
      <c r="J176" s="252"/>
      <c r="K176" s="252"/>
      <c r="L176" s="252"/>
      <c r="M176" s="252"/>
      <c r="N176" s="252"/>
      <c r="O176" s="26"/>
      <c r="P176" s="252"/>
      <c r="Q176" s="252"/>
      <c r="R176" s="252"/>
      <c r="S176" s="252"/>
      <c r="T176" s="252"/>
      <c r="U176" s="26"/>
      <c r="V176" s="252"/>
      <c r="W176" s="252"/>
      <c r="X176" s="252"/>
      <c r="Y176" s="252"/>
      <c r="Z176" s="252"/>
      <c r="AA176" s="26"/>
      <c r="AB176" s="252"/>
      <c r="AC176" s="252"/>
      <c r="AD176" s="252"/>
      <c r="AE176" s="252"/>
      <c r="AF176" s="252"/>
      <c r="AG176" s="26"/>
      <c r="AH176" s="252"/>
    </row>
    <row r="177" spans="1:34" x14ac:dyDescent="0.2">
      <c r="A177" s="273"/>
      <c r="B177" s="284" t="s">
        <v>141</v>
      </c>
      <c r="C177" s="291" t="s">
        <v>6</v>
      </c>
      <c r="D177" s="272" t="s">
        <v>78</v>
      </c>
      <c r="E177" s="252">
        <v>0</v>
      </c>
      <c r="F177" s="252">
        <v>0</v>
      </c>
      <c r="G177" s="252">
        <v>0</v>
      </c>
      <c r="H177" s="252">
        <v>0</v>
      </c>
      <c r="I177" s="26"/>
      <c r="J177" s="252">
        <v>0</v>
      </c>
      <c r="K177" s="252">
        <v>0</v>
      </c>
      <c r="L177" s="252">
        <v>0</v>
      </c>
      <c r="M177" s="252">
        <v>0</v>
      </c>
      <c r="N177" s="252">
        <v>0</v>
      </c>
      <c r="O177" s="26"/>
      <c r="P177" s="252">
        <v>0</v>
      </c>
      <c r="Q177" s="252">
        <v>0</v>
      </c>
      <c r="R177" s="252">
        <v>0</v>
      </c>
      <c r="S177" s="252">
        <v>0</v>
      </c>
      <c r="T177" s="252">
        <v>0</v>
      </c>
      <c r="U177" s="26"/>
      <c r="V177" s="252">
        <v>0</v>
      </c>
      <c r="W177" s="252">
        <v>0</v>
      </c>
      <c r="X177" s="252">
        <v>0</v>
      </c>
      <c r="Y177" s="252">
        <v>0</v>
      </c>
      <c r="Z177" s="252">
        <v>0</v>
      </c>
      <c r="AA177" s="26"/>
      <c r="AB177" s="252">
        <v>0</v>
      </c>
      <c r="AC177" s="252">
        <v>0</v>
      </c>
      <c r="AD177" s="252">
        <v>0</v>
      </c>
      <c r="AE177" s="252">
        <v>0</v>
      </c>
      <c r="AF177" s="252">
        <v>0</v>
      </c>
      <c r="AG177" s="26"/>
      <c r="AH177" s="252">
        <v>0</v>
      </c>
    </row>
    <row r="178" spans="1:34" x14ac:dyDescent="0.2">
      <c r="A178" s="449"/>
      <c r="B178" s="284"/>
      <c r="C178" s="291"/>
      <c r="D178" s="251"/>
      <c r="E178" s="252"/>
      <c r="F178" s="252"/>
      <c r="G178" s="252"/>
      <c r="H178" s="252"/>
      <c r="I178" s="26"/>
      <c r="J178" s="252"/>
      <c r="K178" s="252"/>
      <c r="L178" s="252"/>
      <c r="M178" s="252"/>
      <c r="N178" s="252"/>
      <c r="O178" s="26"/>
      <c r="P178" s="252"/>
      <c r="Q178" s="252"/>
      <c r="R178" s="252"/>
      <c r="S178" s="252"/>
      <c r="T178" s="252"/>
      <c r="U178" s="26"/>
      <c r="V178" s="252"/>
      <c r="W178" s="252"/>
      <c r="X178" s="252"/>
      <c r="Y178" s="252"/>
      <c r="Z178" s="252"/>
      <c r="AA178" s="26"/>
      <c r="AB178" s="252"/>
      <c r="AC178" s="252"/>
      <c r="AD178" s="252"/>
      <c r="AE178" s="252"/>
      <c r="AF178" s="252"/>
      <c r="AG178" s="26"/>
      <c r="AH178" s="252"/>
    </row>
    <row r="179" spans="1:34" x14ac:dyDescent="0.2">
      <c r="A179" s="449"/>
      <c r="B179" s="284"/>
      <c r="C179" s="291" t="s">
        <v>7</v>
      </c>
      <c r="D179" s="272" t="s">
        <v>78</v>
      </c>
      <c r="E179" s="252">
        <v>0</v>
      </c>
      <c r="F179" s="252">
        <v>0</v>
      </c>
      <c r="G179" s="252">
        <v>0</v>
      </c>
      <c r="H179" s="252">
        <v>0</v>
      </c>
      <c r="I179" s="26"/>
      <c r="J179" s="252">
        <v>0</v>
      </c>
      <c r="K179" s="252">
        <v>0</v>
      </c>
      <c r="L179" s="252">
        <v>0</v>
      </c>
      <c r="M179" s="252">
        <v>0</v>
      </c>
      <c r="N179" s="252">
        <v>0</v>
      </c>
      <c r="O179" s="26"/>
      <c r="P179" s="252">
        <v>0</v>
      </c>
      <c r="Q179" s="252">
        <v>0</v>
      </c>
      <c r="R179" s="252">
        <v>0</v>
      </c>
      <c r="S179" s="252">
        <v>0</v>
      </c>
      <c r="T179" s="252">
        <v>0</v>
      </c>
      <c r="U179" s="26"/>
      <c r="V179" s="252">
        <v>0</v>
      </c>
      <c r="W179" s="252">
        <v>0</v>
      </c>
      <c r="X179" s="252">
        <v>0</v>
      </c>
      <c r="Y179" s="252">
        <v>0</v>
      </c>
      <c r="Z179" s="252">
        <v>0</v>
      </c>
      <c r="AA179" s="26"/>
      <c r="AB179" s="252">
        <v>0</v>
      </c>
      <c r="AC179" s="252">
        <v>0</v>
      </c>
      <c r="AD179" s="252">
        <v>0</v>
      </c>
      <c r="AE179" s="252">
        <v>0</v>
      </c>
      <c r="AF179" s="252">
        <v>0</v>
      </c>
      <c r="AG179" s="26"/>
      <c r="AH179" s="252">
        <v>0</v>
      </c>
    </row>
    <row r="180" spans="1:34" x14ac:dyDescent="0.2">
      <c r="A180" s="449"/>
      <c r="B180" s="284"/>
      <c r="C180" s="291"/>
      <c r="D180" s="251"/>
      <c r="E180" s="252"/>
      <c r="F180" s="252"/>
      <c r="G180" s="252"/>
      <c r="H180" s="252"/>
      <c r="I180" s="26"/>
      <c r="J180" s="252"/>
      <c r="K180" s="252"/>
      <c r="L180" s="252"/>
      <c r="M180" s="252"/>
      <c r="N180" s="252"/>
      <c r="O180" s="26"/>
      <c r="P180" s="252"/>
      <c r="Q180" s="252"/>
      <c r="R180" s="252"/>
      <c r="S180" s="252"/>
      <c r="T180" s="252"/>
      <c r="U180" s="26"/>
      <c r="V180" s="252"/>
      <c r="W180" s="252"/>
      <c r="X180" s="252"/>
      <c r="Y180" s="252"/>
      <c r="Z180" s="252"/>
      <c r="AA180" s="26"/>
      <c r="AB180" s="252"/>
      <c r="AC180" s="252"/>
      <c r="AD180" s="252"/>
      <c r="AE180" s="252"/>
      <c r="AF180" s="252"/>
      <c r="AG180" s="26"/>
      <c r="AH180" s="252"/>
    </row>
    <row r="181" spans="1:34" x14ac:dyDescent="0.2">
      <c r="A181" s="449"/>
      <c r="B181" s="284"/>
      <c r="C181" s="291" t="s">
        <v>8</v>
      </c>
      <c r="D181" s="272" t="s">
        <v>78</v>
      </c>
      <c r="E181" s="252">
        <v>0</v>
      </c>
      <c r="F181" s="252">
        <v>0</v>
      </c>
      <c r="G181" s="252">
        <v>0</v>
      </c>
      <c r="H181" s="252">
        <v>0</v>
      </c>
      <c r="I181" s="26"/>
      <c r="J181" s="252">
        <v>0</v>
      </c>
      <c r="K181" s="252">
        <v>0</v>
      </c>
      <c r="L181" s="252">
        <v>0</v>
      </c>
      <c r="M181" s="252">
        <v>0</v>
      </c>
      <c r="N181" s="252">
        <v>0</v>
      </c>
      <c r="O181" s="26"/>
      <c r="P181" s="252">
        <v>0</v>
      </c>
      <c r="Q181" s="252">
        <v>0</v>
      </c>
      <c r="R181" s="252">
        <v>0</v>
      </c>
      <c r="S181" s="252">
        <v>0</v>
      </c>
      <c r="T181" s="252">
        <v>0</v>
      </c>
      <c r="U181" s="26"/>
      <c r="V181" s="252">
        <v>0</v>
      </c>
      <c r="W181" s="252">
        <v>0</v>
      </c>
      <c r="X181" s="252">
        <v>0</v>
      </c>
      <c r="Y181" s="252">
        <v>0</v>
      </c>
      <c r="Z181" s="252">
        <v>0</v>
      </c>
      <c r="AA181" s="26"/>
      <c r="AB181" s="252">
        <v>0</v>
      </c>
      <c r="AC181" s="252">
        <v>0</v>
      </c>
      <c r="AD181" s="252">
        <v>0</v>
      </c>
      <c r="AE181" s="252">
        <v>0</v>
      </c>
      <c r="AF181" s="252">
        <v>0</v>
      </c>
      <c r="AG181" s="26"/>
      <c r="AH181" s="252">
        <v>0</v>
      </c>
    </row>
    <row r="182" spans="1:34" x14ac:dyDescent="0.2">
      <c r="A182" s="449"/>
      <c r="B182" s="284"/>
      <c r="C182" s="291"/>
      <c r="D182" s="251"/>
      <c r="E182" s="252"/>
      <c r="F182" s="252"/>
      <c r="G182" s="252"/>
      <c r="H182" s="252"/>
      <c r="I182" s="26"/>
      <c r="J182" s="252"/>
      <c r="K182" s="252"/>
      <c r="L182" s="252"/>
      <c r="M182" s="252"/>
      <c r="N182" s="252"/>
      <c r="O182" s="26"/>
      <c r="P182" s="252"/>
      <c r="Q182" s="252"/>
      <c r="R182" s="252"/>
      <c r="S182" s="252"/>
      <c r="T182" s="252"/>
      <c r="U182" s="26"/>
      <c r="V182" s="252"/>
      <c r="W182" s="252"/>
      <c r="X182" s="252"/>
      <c r="Y182" s="252"/>
      <c r="Z182" s="252"/>
      <c r="AA182" s="26"/>
      <c r="AB182" s="252"/>
      <c r="AC182" s="252"/>
      <c r="AD182" s="252"/>
      <c r="AE182" s="252"/>
      <c r="AF182" s="252"/>
      <c r="AG182" s="26"/>
      <c r="AH182" s="252"/>
    </row>
    <row r="183" spans="1:34" x14ac:dyDescent="0.2">
      <c r="A183" s="273"/>
      <c r="B183" s="284" t="s">
        <v>89</v>
      </c>
      <c r="C183" s="291" t="s">
        <v>6</v>
      </c>
      <c r="D183" s="272" t="s">
        <v>78</v>
      </c>
      <c r="E183" s="254">
        <v>5.0000000000000001E-3</v>
      </c>
      <c r="F183" s="254">
        <v>5.0000000000000001E-3</v>
      </c>
      <c r="G183" s="254">
        <v>5.0000000000000001E-3</v>
      </c>
      <c r="H183" s="254">
        <v>5.0000000000000001E-3</v>
      </c>
      <c r="I183" s="26"/>
      <c r="J183" s="254">
        <v>5.0000000000000001E-3</v>
      </c>
      <c r="K183" s="254">
        <v>5.0000000000000001E-3</v>
      </c>
      <c r="L183" s="254">
        <v>5.0000000000000001E-3</v>
      </c>
      <c r="M183" s="254">
        <v>5.0000000000000001E-3</v>
      </c>
      <c r="N183" s="254">
        <v>5.0000000000000001E-3</v>
      </c>
      <c r="O183" s="26"/>
      <c r="P183" s="254">
        <v>5.0000000000000001E-3</v>
      </c>
      <c r="Q183" s="254">
        <v>5.0000000000000001E-3</v>
      </c>
      <c r="R183" s="254">
        <v>5.0000000000000001E-3</v>
      </c>
      <c r="S183" s="254">
        <v>5.0000000000000001E-3</v>
      </c>
      <c r="T183" s="254">
        <v>5.0000000000000001E-3</v>
      </c>
      <c r="U183" s="26"/>
      <c r="V183" s="254">
        <v>5.0000000000000001E-3</v>
      </c>
      <c r="W183" s="254">
        <v>5.0000000000000001E-3</v>
      </c>
      <c r="X183" s="254">
        <v>5.0000000000000001E-3</v>
      </c>
      <c r="Y183" s="254">
        <v>5.0000000000000001E-3</v>
      </c>
      <c r="Z183" s="254">
        <v>5.0000000000000001E-3</v>
      </c>
      <c r="AA183" s="26"/>
      <c r="AB183" s="254">
        <v>5.0000000000000001E-3</v>
      </c>
      <c r="AC183" s="254">
        <v>5.0000000000000001E-3</v>
      </c>
      <c r="AD183" s="254">
        <v>5.0000000000000001E-3</v>
      </c>
      <c r="AE183" s="254">
        <v>5.0000000000000001E-3</v>
      </c>
      <c r="AF183" s="254">
        <v>5.0000000000000001E-3</v>
      </c>
      <c r="AG183" s="26"/>
      <c r="AH183" s="254">
        <v>5.0000000000000001E-3</v>
      </c>
    </row>
    <row r="184" spans="1:34" x14ac:dyDescent="0.2">
      <c r="A184" s="449"/>
      <c r="B184" s="284"/>
      <c r="C184" s="291"/>
      <c r="D184" s="251"/>
      <c r="E184" s="254"/>
      <c r="F184" s="254"/>
      <c r="G184" s="254"/>
      <c r="H184" s="254"/>
      <c r="I184" s="26"/>
      <c r="J184" s="254"/>
      <c r="K184" s="254"/>
      <c r="L184" s="254"/>
      <c r="M184" s="254"/>
      <c r="N184" s="254"/>
      <c r="O184" s="26"/>
      <c r="P184" s="254"/>
      <c r="Q184" s="254"/>
      <c r="R184" s="254"/>
      <c r="S184" s="254"/>
      <c r="T184" s="254"/>
      <c r="U184" s="26"/>
      <c r="V184" s="254"/>
      <c r="W184" s="254"/>
      <c r="X184" s="254"/>
      <c r="Y184" s="254"/>
      <c r="Z184" s="254"/>
      <c r="AA184" s="26"/>
      <c r="AB184" s="254"/>
      <c r="AC184" s="254"/>
      <c r="AD184" s="254"/>
      <c r="AE184" s="254"/>
      <c r="AF184" s="254"/>
      <c r="AG184" s="26"/>
      <c r="AH184" s="254"/>
    </row>
    <row r="185" spans="1:34" x14ac:dyDescent="0.2">
      <c r="A185" s="449"/>
      <c r="B185" s="284"/>
      <c r="C185" s="291" t="s">
        <v>7</v>
      </c>
      <c r="D185" s="272" t="s">
        <v>78</v>
      </c>
      <c r="E185" s="252">
        <v>0.01</v>
      </c>
      <c r="F185" s="252">
        <v>0.01</v>
      </c>
      <c r="G185" s="252">
        <v>0.01</v>
      </c>
      <c r="H185" s="252">
        <v>0.01</v>
      </c>
      <c r="I185" s="26"/>
      <c r="J185" s="252">
        <v>0.01</v>
      </c>
      <c r="K185" s="252">
        <v>0.01</v>
      </c>
      <c r="L185" s="252">
        <v>0.01</v>
      </c>
      <c r="M185" s="252">
        <v>0.01</v>
      </c>
      <c r="N185" s="252">
        <v>0.01</v>
      </c>
      <c r="O185" s="26"/>
      <c r="P185" s="252">
        <v>0.01</v>
      </c>
      <c r="Q185" s="252">
        <v>0.01</v>
      </c>
      <c r="R185" s="252">
        <v>0.01</v>
      </c>
      <c r="S185" s="252">
        <v>0.01</v>
      </c>
      <c r="T185" s="252">
        <v>0.01</v>
      </c>
      <c r="U185" s="26"/>
      <c r="V185" s="252">
        <v>0.01</v>
      </c>
      <c r="W185" s="252">
        <v>0.01</v>
      </c>
      <c r="X185" s="252">
        <v>0.01</v>
      </c>
      <c r="Y185" s="252">
        <v>0.01</v>
      </c>
      <c r="Z185" s="252">
        <v>0.01</v>
      </c>
      <c r="AA185" s="26"/>
      <c r="AB185" s="252">
        <v>0.01</v>
      </c>
      <c r="AC185" s="252">
        <v>0.01</v>
      </c>
      <c r="AD185" s="252">
        <v>0.01</v>
      </c>
      <c r="AE185" s="252">
        <v>0.01</v>
      </c>
      <c r="AF185" s="252">
        <v>0.01</v>
      </c>
      <c r="AG185" s="26"/>
      <c r="AH185" s="252">
        <v>0.01</v>
      </c>
    </row>
    <row r="186" spans="1:34" x14ac:dyDescent="0.2">
      <c r="A186" s="449"/>
      <c r="B186" s="284"/>
      <c r="C186" s="291"/>
      <c r="D186" s="251"/>
      <c r="E186" s="252"/>
      <c r="F186" s="252"/>
      <c r="G186" s="252"/>
      <c r="H186" s="252"/>
      <c r="I186" s="26"/>
      <c r="J186" s="252"/>
      <c r="K186" s="252"/>
      <c r="L186" s="252"/>
      <c r="M186" s="252"/>
      <c r="N186" s="252"/>
      <c r="O186" s="26"/>
      <c r="P186" s="252"/>
      <c r="Q186" s="252"/>
      <c r="R186" s="252"/>
      <c r="S186" s="252"/>
      <c r="T186" s="252"/>
      <c r="U186" s="26"/>
      <c r="V186" s="252"/>
      <c r="W186" s="252"/>
      <c r="X186" s="252"/>
      <c r="Y186" s="252"/>
      <c r="Z186" s="252"/>
      <c r="AA186" s="26"/>
      <c r="AB186" s="252"/>
      <c r="AC186" s="252"/>
      <c r="AD186" s="252"/>
      <c r="AE186" s="252"/>
      <c r="AF186" s="252"/>
      <c r="AG186" s="26"/>
      <c r="AH186" s="252"/>
    </row>
    <row r="187" spans="1:34" x14ac:dyDescent="0.2">
      <c r="A187" s="449"/>
      <c r="B187" s="284"/>
      <c r="C187" s="291" t="s">
        <v>8</v>
      </c>
      <c r="D187" s="272" t="s">
        <v>78</v>
      </c>
      <c r="E187" s="252">
        <v>0.01</v>
      </c>
      <c r="F187" s="252">
        <v>0.01</v>
      </c>
      <c r="G187" s="252">
        <v>0.01</v>
      </c>
      <c r="H187" s="252">
        <v>0.01</v>
      </c>
      <c r="I187" s="26"/>
      <c r="J187" s="252">
        <v>0.01</v>
      </c>
      <c r="K187" s="252">
        <v>0.01</v>
      </c>
      <c r="L187" s="252">
        <v>0.01</v>
      </c>
      <c r="M187" s="252">
        <v>0.01</v>
      </c>
      <c r="N187" s="252">
        <v>0.01</v>
      </c>
      <c r="O187" s="26"/>
      <c r="P187" s="252">
        <v>0.01</v>
      </c>
      <c r="Q187" s="252">
        <v>0.01</v>
      </c>
      <c r="R187" s="252">
        <v>0.01</v>
      </c>
      <c r="S187" s="252">
        <v>0.01</v>
      </c>
      <c r="T187" s="252">
        <v>0.01</v>
      </c>
      <c r="U187" s="26"/>
      <c r="V187" s="252">
        <v>0.01</v>
      </c>
      <c r="W187" s="252">
        <v>0.01</v>
      </c>
      <c r="X187" s="252">
        <v>0.01</v>
      </c>
      <c r="Y187" s="252">
        <v>0.01</v>
      </c>
      <c r="Z187" s="252">
        <v>0.01</v>
      </c>
      <c r="AA187" s="26"/>
      <c r="AB187" s="252">
        <v>0.01</v>
      </c>
      <c r="AC187" s="252">
        <v>0.01</v>
      </c>
      <c r="AD187" s="252">
        <v>0.01</v>
      </c>
      <c r="AE187" s="252">
        <v>0.01</v>
      </c>
      <c r="AF187" s="252">
        <v>0.01</v>
      </c>
      <c r="AG187" s="26"/>
      <c r="AH187" s="252">
        <v>0.01</v>
      </c>
    </row>
    <row r="188" spans="1:34" x14ac:dyDescent="0.2">
      <c r="A188" s="449"/>
      <c r="B188" s="284"/>
      <c r="C188" s="291"/>
      <c r="D188" s="251"/>
      <c r="E188" s="252"/>
      <c r="F188" s="252"/>
      <c r="G188" s="252"/>
      <c r="H188" s="252"/>
      <c r="I188" s="26"/>
      <c r="J188" s="252"/>
      <c r="K188" s="252"/>
      <c r="L188" s="252"/>
      <c r="M188" s="252"/>
      <c r="N188" s="252"/>
      <c r="O188" s="26"/>
      <c r="P188" s="252"/>
      <c r="Q188" s="252"/>
      <c r="R188" s="252"/>
      <c r="S188" s="252"/>
      <c r="T188" s="252"/>
      <c r="U188" s="26"/>
      <c r="V188" s="252"/>
      <c r="W188" s="252"/>
      <c r="X188" s="252"/>
      <c r="Y188" s="252"/>
      <c r="Z188" s="252"/>
      <c r="AA188" s="26"/>
      <c r="AB188" s="252"/>
      <c r="AC188" s="252"/>
      <c r="AD188" s="252"/>
      <c r="AE188" s="252"/>
      <c r="AF188" s="252"/>
      <c r="AG188" s="26"/>
      <c r="AH188" s="252"/>
    </row>
    <row r="189" spans="1:34" x14ac:dyDescent="0.2">
      <c r="A189" s="17">
        <v>1.7</v>
      </c>
      <c r="B189" s="274" t="s">
        <v>28</v>
      </c>
      <c r="C189" s="307"/>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2"/>
    </row>
    <row r="190" spans="1:34" ht="19.5" customHeight="1" x14ac:dyDescent="0.2">
      <c r="A190" s="289"/>
      <c r="B190" s="284" t="s">
        <v>90</v>
      </c>
      <c r="C190" s="284"/>
      <c r="D190" s="272" t="s">
        <v>78</v>
      </c>
      <c r="E190" s="252">
        <v>0.2</v>
      </c>
      <c r="F190" s="252">
        <v>0.2</v>
      </c>
      <c r="G190" s="252">
        <v>0.2</v>
      </c>
      <c r="H190" s="252">
        <v>0.2</v>
      </c>
      <c r="I190" s="26"/>
      <c r="J190" s="252">
        <v>0.2</v>
      </c>
      <c r="K190" s="252">
        <v>0.2</v>
      </c>
      <c r="L190" s="252">
        <v>0.2</v>
      </c>
      <c r="M190" s="252">
        <v>0.2</v>
      </c>
      <c r="N190" s="252">
        <v>0.2</v>
      </c>
      <c r="O190" s="26"/>
      <c r="P190" s="252">
        <v>0.2</v>
      </c>
      <c r="Q190" s="252">
        <v>0.2</v>
      </c>
      <c r="R190" s="252">
        <v>0.2</v>
      </c>
      <c r="S190" s="252">
        <v>0.2</v>
      </c>
      <c r="T190" s="252">
        <v>0.2</v>
      </c>
      <c r="U190" s="26"/>
      <c r="V190" s="252">
        <v>0.2</v>
      </c>
      <c r="W190" s="252">
        <v>0.2</v>
      </c>
      <c r="X190" s="252">
        <v>0.2</v>
      </c>
      <c r="Y190" s="252">
        <v>0.2</v>
      </c>
      <c r="Z190" s="252">
        <v>0.2</v>
      </c>
      <c r="AA190" s="26"/>
      <c r="AB190" s="252">
        <v>0.2</v>
      </c>
      <c r="AC190" s="252">
        <v>0.2</v>
      </c>
      <c r="AD190" s="252">
        <v>0.2</v>
      </c>
      <c r="AE190" s="252">
        <v>0.2</v>
      </c>
      <c r="AF190" s="252">
        <v>0.2</v>
      </c>
      <c r="AG190" s="26"/>
      <c r="AH190" s="252">
        <v>0.2</v>
      </c>
    </row>
    <row r="191" spans="1:34" ht="24.6" customHeight="1" x14ac:dyDescent="0.2">
      <c r="A191" s="289"/>
      <c r="B191" s="284"/>
      <c r="C191" s="284"/>
      <c r="D191" s="251"/>
      <c r="E191" s="252"/>
      <c r="F191" s="252"/>
      <c r="G191" s="252"/>
      <c r="H191" s="252"/>
      <c r="I191" s="26"/>
      <c r="J191" s="252"/>
      <c r="K191" s="252"/>
      <c r="L191" s="252"/>
      <c r="M191" s="252"/>
      <c r="N191" s="252"/>
      <c r="O191" s="26"/>
      <c r="P191" s="252"/>
      <c r="Q191" s="252"/>
      <c r="R191" s="252"/>
      <c r="S191" s="252"/>
      <c r="T191" s="252"/>
      <c r="U191" s="26"/>
      <c r="V191" s="252"/>
      <c r="W191" s="252"/>
      <c r="X191" s="252"/>
      <c r="Y191" s="252"/>
      <c r="Z191" s="252"/>
      <c r="AA191" s="26"/>
      <c r="AB191" s="252"/>
      <c r="AC191" s="252"/>
      <c r="AD191" s="252"/>
      <c r="AE191" s="252"/>
      <c r="AF191" s="252"/>
      <c r="AG191" s="26"/>
      <c r="AH191" s="252"/>
    </row>
    <row r="192" spans="1:34" x14ac:dyDescent="0.2">
      <c r="A192" s="289"/>
      <c r="B192" s="284" t="s">
        <v>91</v>
      </c>
      <c r="C192" s="284"/>
      <c r="D192" s="272" t="s">
        <v>78</v>
      </c>
      <c r="E192" s="252">
        <v>1</v>
      </c>
      <c r="F192" s="252">
        <v>1</v>
      </c>
      <c r="G192" s="252">
        <v>1</v>
      </c>
      <c r="H192" s="252">
        <v>1</v>
      </c>
      <c r="I192" s="26"/>
      <c r="J192" s="252">
        <v>1</v>
      </c>
      <c r="K192" s="252">
        <v>1</v>
      </c>
      <c r="L192" s="252">
        <v>1</v>
      </c>
      <c r="M192" s="252">
        <v>1</v>
      </c>
      <c r="N192" s="252">
        <v>1</v>
      </c>
      <c r="O192" s="26"/>
      <c r="P192" s="252">
        <v>1</v>
      </c>
      <c r="Q192" s="252">
        <v>1</v>
      </c>
      <c r="R192" s="252">
        <v>1</v>
      </c>
      <c r="S192" s="252">
        <v>1</v>
      </c>
      <c r="T192" s="252">
        <v>1</v>
      </c>
      <c r="U192" s="26"/>
      <c r="V192" s="252">
        <v>1</v>
      </c>
      <c r="W192" s="252">
        <v>1</v>
      </c>
      <c r="X192" s="252">
        <v>1</v>
      </c>
      <c r="Y192" s="252">
        <v>1</v>
      </c>
      <c r="Z192" s="252">
        <v>1</v>
      </c>
      <c r="AA192" s="26"/>
      <c r="AB192" s="252">
        <v>1</v>
      </c>
      <c r="AC192" s="252">
        <v>1</v>
      </c>
      <c r="AD192" s="252">
        <v>1</v>
      </c>
      <c r="AE192" s="252">
        <v>1</v>
      </c>
      <c r="AF192" s="252">
        <v>1</v>
      </c>
      <c r="AG192" s="26"/>
      <c r="AH192" s="252">
        <v>1</v>
      </c>
    </row>
    <row r="193" spans="1:34" ht="32.4" customHeight="1" x14ac:dyDescent="0.2">
      <c r="A193" s="289"/>
      <c r="B193" s="284"/>
      <c r="C193" s="284"/>
      <c r="D193" s="251"/>
      <c r="E193" s="252"/>
      <c r="F193" s="252"/>
      <c r="G193" s="252"/>
      <c r="H193" s="252"/>
      <c r="I193" s="26"/>
      <c r="J193" s="252"/>
      <c r="K193" s="252"/>
      <c r="L193" s="252"/>
      <c r="M193" s="252"/>
      <c r="N193" s="252"/>
      <c r="O193" s="26"/>
      <c r="P193" s="252"/>
      <c r="Q193" s="252"/>
      <c r="R193" s="252"/>
      <c r="S193" s="252"/>
      <c r="T193" s="252"/>
      <c r="U193" s="26"/>
      <c r="V193" s="252"/>
      <c r="W193" s="252"/>
      <c r="X193" s="252"/>
      <c r="Y193" s="252"/>
      <c r="Z193" s="252"/>
      <c r="AA193" s="26"/>
      <c r="AB193" s="252"/>
      <c r="AC193" s="252"/>
      <c r="AD193" s="252"/>
      <c r="AE193" s="252"/>
      <c r="AF193" s="252"/>
      <c r="AG193" s="26"/>
      <c r="AH193" s="252"/>
    </row>
    <row r="194" spans="1:34" x14ac:dyDescent="0.2">
      <c r="A194" s="43">
        <v>2</v>
      </c>
      <c r="B194" s="279" t="s">
        <v>29</v>
      </c>
      <c r="C194" s="505"/>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2"/>
    </row>
    <row r="195" spans="1:34" x14ac:dyDescent="0.2">
      <c r="A195" s="43">
        <v>2.1</v>
      </c>
      <c r="B195" s="279" t="s">
        <v>30</v>
      </c>
      <c r="C195" s="505"/>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2"/>
    </row>
    <row r="196" spans="1:34" ht="31.2" customHeight="1" x14ac:dyDescent="0.2">
      <c r="A196" s="289"/>
      <c r="B196" s="288" t="s">
        <v>142</v>
      </c>
      <c r="C196" s="288"/>
      <c r="D196" s="273" t="s">
        <v>78</v>
      </c>
      <c r="E196" s="254">
        <v>0.16</v>
      </c>
      <c r="F196" s="254">
        <v>0.16</v>
      </c>
      <c r="G196" s="254">
        <v>0.16</v>
      </c>
      <c r="H196" s="254">
        <v>0.16</v>
      </c>
      <c r="I196" s="45"/>
      <c r="J196" s="254">
        <v>0.16</v>
      </c>
      <c r="K196" s="254">
        <v>0.16</v>
      </c>
      <c r="L196" s="254">
        <v>0.16</v>
      </c>
      <c r="M196" s="254">
        <v>0.16</v>
      </c>
      <c r="N196" s="254">
        <v>0.16</v>
      </c>
      <c r="O196" s="45"/>
      <c r="P196" s="254">
        <v>0.16</v>
      </c>
      <c r="Q196" s="254">
        <v>0.16</v>
      </c>
      <c r="R196" s="254">
        <v>0.16</v>
      </c>
      <c r="S196" s="254">
        <v>0.16</v>
      </c>
      <c r="T196" s="254">
        <v>0.16</v>
      </c>
      <c r="U196" s="45"/>
      <c r="V196" s="254">
        <v>0.16</v>
      </c>
      <c r="W196" s="254">
        <v>0.16</v>
      </c>
      <c r="X196" s="254">
        <v>0.16</v>
      </c>
      <c r="Y196" s="254">
        <v>0.16</v>
      </c>
      <c r="Z196" s="254">
        <v>0.16</v>
      </c>
      <c r="AA196" s="45"/>
      <c r="AB196" s="254">
        <v>0.16</v>
      </c>
      <c r="AC196" s="254">
        <v>0.16</v>
      </c>
      <c r="AD196" s="254">
        <v>0.16</v>
      </c>
      <c r="AE196" s="254">
        <v>0.16</v>
      </c>
      <c r="AF196" s="254">
        <v>0.16</v>
      </c>
      <c r="AG196" s="29"/>
      <c r="AH196" s="254">
        <v>0.16</v>
      </c>
    </row>
    <row r="197" spans="1:34" ht="25.2" customHeight="1" x14ac:dyDescent="0.2">
      <c r="A197" s="289"/>
      <c r="B197" s="288"/>
      <c r="C197" s="288"/>
      <c r="D197" s="273"/>
      <c r="E197" s="254"/>
      <c r="F197" s="254"/>
      <c r="G197" s="254"/>
      <c r="H197" s="254"/>
      <c r="I197" s="45"/>
      <c r="J197" s="254"/>
      <c r="K197" s="254"/>
      <c r="L197" s="254"/>
      <c r="M197" s="254"/>
      <c r="N197" s="254"/>
      <c r="O197" s="45"/>
      <c r="P197" s="254"/>
      <c r="Q197" s="254"/>
      <c r="R197" s="254"/>
      <c r="S197" s="254"/>
      <c r="T197" s="254"/>
      <c r="U197" s="45"/>
      <c r="V197" s="254"/>
      <c r="W197" s="254"/>
      <c r="X197" s="254"/>
      <c r="Y197" s="254"/>
      <c r="Z197" s="254"/>
      <c r="AA197" s="45"/>
      <c r="AB197" s="254"/>
      <c r="AC197" s="254"/>
      <c r="AD197" s="254"/>
      <c r="AE197" s="254"/>
      <c r="AF197" s="254"/>
      <c r="AG197" s="29"/>
      <c r="AH197" s="254"/>
    </row>
    <row r="198" spans="1:34" ht="20.25" customHeight="1" x14ac:dyDescent="0.2">
      <c r="A198" s="289"/>
      <c r="B198" s="296" t="s">
        <v>146</v>
      </c>
      <c r="C198" s="296"/>
      <c r="D198" s="273" t="s">
        <v>78</v>
      </c>
      <c r="E198" s="252">
        <v>1</v>
      </c>
      <c r="F198" s="252">
        <v>1</v>
      </c>
      <c r="G198" s="252">
        <v>1</v>
      </c>
      <c r="H198" s="252">
        <v>1</v>
      </c>
      <c r="I198" s="19"/>
      <c r="J198" s="252">
        <v>1</v>
      </c>
      <c r="K198" s="252">
        <v>1</v>
      </c>
      <c r="L198" s="252">
        <v>1</v>
      </c>
      <c r="M198" s="252">
        <v>1</v>
      </c>
      <c r="N198" s="252">
        <v>1</v>
      </c>
      <c r="O198" s="19"/>
      <c r="P198" s="252">
        <v>1</v>
      </c>
      <c r="Q198" s="252">
        <v>1</v>
      </c>
      <c r="R198" s="252">
        <v>1</v>
      </c>
      <c r="S198" s="252">
        <v>1</v>
      </c>
      <c r="T198" s="252">
        <v>1</v>
      </c>
      <c r="U198" s="19"/>
      <c r="V198" s="252">
        <v>1</v>
      </c>
      <c r="W198" s="252">
        <v>1</v>
      </c>
      <c r="X198" s="252">
        <v>1</v>
      </c>
      <c r="Y198" s="252">
        <v>1</v>
      </c>
      <c r="Z198" s="252">
        <v>1</v>
      </c>
      <c r="AA198" s="19"/>
      <c r="AB198" s="252">
        <v>1</v>
      </c>
      <c r="AC198" s="252">
        <v>1</v>
      </c>
      <c r="AD198" s="252">
        <v>1</v>
      </c>
      <c r="AE198" s="252">
        <v>1</v>
      </c>
      <c r="AF198" s="252">
        <v>1</v>
      </c>
      <c r="AG198" s="19"/>
      <c r="AH198" s="252">
        <v>1</v>
      </c>
    </row>
    <row r="199" spans="1:34" ht="21.75" customHeight="1" x14ac:dyDescent="0.2">
      <c r="A199" s="289"/>
      <c r="B199" s="296"/>
      <c r="C199" s="296"/>
      <c r="D199" s="273"/>
      <c r="E199" s="252"/>
      <c r="F199" s="252"/>
      <c r="G199" s="252"/>
      <c r="H199" s="252"/>
      <c r="I199" s="19"/>
      <c r="J199" s="252"/>
      <c r="K199" s="252"/>
      <c r="L199" s="252"/>
      <c r="M199" s="252"/>
      <c r="N199" s="252"/>
      <c r="O199" s="19"/>
      <c r="P199" s="252"/>
      <c r="Q199" s="252"/>
      <c r="R199" s="252"/>
      <c r="S199" s="252"/>
      <c r="T199" s="252"/>
      <c r="U199" s="19"/>
      <c r="V199" s="252"/>
      <c r="W199" s="252"/>
      <c r="X199" s="252"/>
      <c r="Y199" s="252"/>
      <c r="Z199" s="252"/>
      <c r="AA199" s="19"/>
      <c r="AB199" s="252"/>
      <c r="AC199" s="252"/>
      <c r="AD199" s="252"/>
      <c r="AE199" s="252"/>
      <c r="AF199" s="252"/>
      <c r="AG199" s="19"/>
      <c r="AH199" s="252"/>
    </row>
    <row r="200" spans="1:34" x14ac:dyDescent="0.2">
      <c r="A200" s="289"/>
      <c r="B200" s="296" t="s">
        <v>147</v>
      </c>
      <c r="C200" s="296"/>
      <c r="D200" s="25" t="s">
        <v>100</v>
      </c>
      <c r="E200" s="250">
        <v>1.5</v>
      </c>
      <c r="F200" s="250">
        <v>1.5</v>
      </c>
      <c r="G200" s="250">
        <v>1.5</v>
      </c>
      <c r="H200" s="250">
        <v>1.5</v>
      </c>
      <c r="I200" s="26"/>
      <c r="J200" s="250">
        <v>1.5</v>
      </c>
      <c r="K200" s="250">
        <v>1.5</v>
      </c>
      <c r="L200" s="250">
        <v>1.5</v>
      </c>
      <c r="M200" s="250">
        <v>1.5</v>
      </c>
      <c r="N200" s="250">
        <v>1.5</v>
      </c>
      <c r="O200" s="26"/>
      <c r="P200" s="250">
        <v>1.5</v>
      </c>
      <c r="Q200" s="250">
        <v>1.5</v>
      </c>
      <c r="R200" s="250">
        <v>1.5</v>
      </c>
      <c r="S200" s="250">
        <v>1.5</v>
      </c>
      <c r="T200" s="250">
        <v>1.5</v>
      </c>
      <c r="U200" s="26"/>
      <c r="V200" s="250">
        <v>1.5</v>
      </c>
      <c r="W200" s="250">
        <v>1.5</v>
      </c>
      <c r="X200" s="250">
        <v>1.5</v>
      </c>
      <c r="Y200" s="250">
        <v>1.5</v>
      </c>
      <c r="Z200" s="250">
        <v>1.5</v>
      </c>
      <c r="AA200" s="26"/>
      <c r="AB200" s="250">
        <v>1.5</v>
      </c>
      <c r="AC200" s="250">
        <v>1.5</v>
      </c>
      <c r="AD200" s="250">
        <v>1.5</v>
      </c>
      <c r="AE200" s="250">
        <v>1.5</v>
      </c>
      <c r="AF200" s="250">
        <v>1.5</v>
      </c>
      <c r="AG200" s="26"/>
      <c r="AH200" s="250">
        <v>1.5</v>
      </c>
    </row>
    <row r="201" spans="1:34" ht="27" customHeight="1" x14ac:dyDescent="0.2">
      <c r="A201" s="289"/>
      <c r="B201" s="296"/>
      <c r="C201" s="296"/>
      <c r="D201" s="46" t="s">
        <v>31</v>
      </c>
      <c r="E201" s="251"/>
      <c r="F201" s="251"/>
      <c r="G201" s="251"/>
      <c r="H201" s="251"/>
      <c r="I201" s="26"/>
      <c r="J201" s="251"/>
      <c r="K201" s="251"/>
      <c r="L201" s="251"/>
      <c r="M201" s="251"/>
      <c r="N201" s="251"/>
      <c r="O201" s="26"/>
      <c r="P201" s="251"/>
      <c r="Q201" s="251"/>
      <c r="R201" s="251"/>
      <c r="S201" s="251"/>
      <c r="T201" s="251"/>
      <c r="U201" s="26"/>
      <c r="V201" s="251"/>
      <c r="W201" s="251"/>
      <c r="X201" s="251"/>
      <c r="Y201" s="251"/>
      <c r="Z201" s="251"/>
      <c r="AA201" s="26"/>
      <c r="AB201" s="251"/>
      <c r="AC201" s="251"/>
      <c r="AD201" s="251"/>
      <c r="AE201" s="251"/>
      <c r="AF201" s="251"/>
      <c r="AG201" s="26"/>
      <c r="AH201" s="251"/>
    </row>
    <row r="202" spans="1:34" x14ac:dyDescent="0.2">
      <c r="A202" s="289"/>
      <c r="B202" s="284" t="s">
        <v>42</v>
      </c>
      <c r="C202" s="450" t="s">
        <v>26</v>
      </c>
      <c r="D202" s="273" t="s">
        <v>78</v>
      </c>
      <c r="E202" s="249">
        <v>1</v>
      </c>
      <c r="F202" s="249">
        <v>1</v>
      </c>
      <c r="G202" s="249">
        <v>1</v>
      </c>
      <c r="H202" s="249">
        <v>1</v>
      </c>
      <c r="I202" s="26"/>
      <c r="J202" s="249">
        <v>1</v>
      </c>
      <c r="K202" s="249">
        <v>1</v>
      </c>
      <c r="L202" s="249">
        <v>1</v>
      </c>
      <c r="M202" s="249">
        <v>1</v>
      </c>
      <c r="N202" s="249">
        <v>1</v>
      </c>
      <c r="O202" s="26"/>
      <c r="P202" s="249">
        <v>1</v>
      </c>
      <c r="Q202" s="249">
        <v>1</v>
      </c>
      <c r="R202" s="249">
        <v>1</v>
      </c>
      <c r="S202" s="249">
        <v>1</v>
      </c>
      <c r="T202" s="249">
        <v>1</v>
      </c>
      <c r="U202" s="26"/>
      <c r="V202" s="249">
        <v>1</v>
      </c>
      <c r="W202" s="249">
        <v>1</v>
      </c>
      <c r="X202" s="249">
        <v>1</v>
      </c>
      <c r="Y202" s="249">
        <v>1</v>
      </c>
      <c r="Z202" s="249">
        <v>1</v>
      </c>
      <c r="AA202" s="26"/>
      <c r="AB202" s="249">
        <v>1</v>
      </c>
      <c r="AC202" s="249">
        <v>1</v>
      </c>
      <c r="AD202" s="249">
        <v>1</v>
      </c>
      <c r="AE202" s="249">
        <v>1</v>
      </c>
      <c r="AF202" s="249">
        <v>1</v>
      </c>
      <c r="AG202" s="26"/>
      <c r="AH202" s="249">
        <v>1</v>
      </c>
    </row>
    <row r="203" spans="1:34" x14ac:dyDescent="0.2">
      <c r="A203" s="289"/>
      <c r="B203" s="284"/>
      <c r="C203" s="450"/>
      <c r="D203" s="273"/>
      <c r="E203" s="249"/>
      <c r="F203" s="249"/>
      <c r="G203" s="249"/>
      <c r="H203" s="249"/>
      <c r="I203" s="26"/>
      <c r="J203" s="249"/>
      <c r="K203" s="249"/>
      <c r="L203" s="249"/>
      <c r="M203" s="249"/>
      <c r="N203" s="249"/>
      <c r="O203" s="26"/>
      <c r="P203" s="249"/>
      <c r="Q203" s="249"/>
      <c r="R203" s="249"/>
      <c r="S203" s="249"/>
      <c r="T203" s="249"/>
      <c r="U203" s="26"/>
      <c r="V203" s="249"/>
      <c r="W203" s="249"/>
      <c r="X203" s="249"/>
      <c r="Y203" s="249"/>
      <c r="Z203" s="249"/>
      <c r="AA203" s="26"/>
      <c r="AB203" s="249"/>
      <c r="AC203" s="249"/>
      <c r="AD203" s="249"/>
      <c r="AE203" s="249"/>
      <c r="AF203" s="249"/>
      <c r="AG203" s="26"/>
      <c r="AH203" s="249"/>
    </row>
    <row r="204" spans="1:34" x14ac:dyDescent="0.2">
      <c r="A204" s="289"/>
      <c r="B204" s="284"/>
      <c r="C204" s="450" t="s">
        <v>7</v>
      </c>
      <c r="D204" s="273" t="s">
        <v>78</v>
      </c>
      <c r="E204" s="249">
        <v>1</v>
      </c>
      <c r="F204" s="249">
        <v>1</v>
      </c>
      <c r="G204" s="249">
        <v>1</v>
      </c>
      <c r="H204" s="249">
        <v>1</v>
      </c>
      <c r="I204" s="26"/>
      <c r="J204" s="249">
        <v>1</v>
      </c>
      <c r="K204" s="249">
        <v>1</v>
      </c>
      <c r="L204" s="249">
        <v>1</v>
      </c>
      <c r="M204" s="249">
        <v>1</v>
      </c>
      <c r="N204" s="249">
        <v>1</v>
      </c>
      <c r="O204" s="26"/>
      <c r="P204" s="249">
        <v>1</v>
      </c>
      <c r="Q204" s="249">
        <v>1</v>
      </c>
      <c r="R204" s="249">
        <v>1</v>
      </c>
      <c r="S204" s="249">
        <v>1</v>
      </c>
      <c r="T204" s="249">
        <v>1</v>
      </c>
      <c r="U204" s="26"/>
      <c r="V204" s="249">
        <v>1</v>
      </c>
      <c r="W204" s="249">
        <v>1</v>
      </c>
      <c r="X204" s="249">
        <v>1</v>
      </c>
      <c r="Y204" s="249">
        <v>1</v>
      </c>
      <c r="Z204" s="249">
        <v>1</v>
      </c>
      <c r="AA204" s="26"/>
      <c r="AB204" s="249">
        <v>1</v>
      </c>
      <c r="AC204" s="249">
        <v>1</v>
      </c>
      <c r="AD204" s="249">
        <v>1</v>
      </c>
      <c r="AE204" s="249">
        <v>1</v>
      </c>
      <c r="AF204" s="249">
        <v>1</v>
      </c>
      <c r="AG204" s="26"/>
      <c r="AH204" s="249">
        <v>1</v>
      </c>
    </row>
    <row r="205" spans="1:34" x14ac:dyDescent="0.2">
      <c r="A205" s="289"/>
      <c r="B205" s="284"/>
      <c r="C205" s="450"/>
      <c r="D205" s="273"/>
      <c r="E205" s="249"/>
      <c r="F205" s="249"/>
      <c r="G205" s="249"/>
      <c r="H205" s="249"/>
      <c r="I205" s="26"/>
      <c r="J205" s="249"/>
      <c r="K205" s="249"/>
      <c r="L205" s="249"/>
      <c r="M205" s="249"/>
      <c r="N205" s="249"/>
      <c r="O205" s="26"/>
      <c r="P205" s="249"/>
      <c r="Q205" s="249"/>
      <c r="R205" s="249"/>
      <c r="S205" s="249"/>
      <c r="T205" s="249"/>
      <c r="U205" s="26"/>
      <c r="V205" s="249"/>
      <c r="W205" s="249"/>
      <c r="X205" s="249"/>
      <c r="Y205" s="249"/>
      <c r="Z205" s="249"/>
      <c r="AA205" s="26"/>
      <c r="AB205" s="249"/>
      <c r="AC205" s="249"/>
      <c r="AD205" s="249"/>
      <c r="AE205" s="249"/>
      <c r="AF205" s="249"/>
      <c r="AG205" s="26"/>
      <c r="AH205" s="249"/>
    </row>
    <row r="206" spans="1:34" x14ac:dyDescent="0.2">
      <c r="A206" s="289"/>
      <c r="B206" s="284"/>
      <c r="C206" s="450" t="s">
        <v>8</v>
      </c>
      <c r="D206" s="273" t="s">
        <v>78</v>
      </c>
      <c r="E206" s="249">
        <v>1</v>
      </c>
      <c r="F206" s="249">
        <v>1</v>
      </c>
      <c r="G206" s="249">
        <v>1</v>
      </c>
      <c r="H206" s="249">
        <v>1</v>
      </c>
      <c r="I206" s="26"/>
      <c r="J206" s="249">
        <v>1</v>
      </c>
      <c r="K206" s="249">
        <v>1</v>
      </c>
      <c r="L206" s="249">
        <v>1</v>
      </c>
      <c r="M206" s="249">
        <v>1</v>
      </c>
      <c r="N206" s="249">
        <v>1</v>
      </c>
      <c r="O206" s="26"/>
      <c r="P206" s="249">
        <v>1</v>
      </c>
      <c r="Q206" s="249">
        <v>1</v>
      </c>
      <c r="R206" s="249">
        <v>1</v>
      </c>
      <c r="S206" s="249">
        <v>1</v>
      </c>
      <c r="T206" s="249">
        <v>1</v>
      </c>
      <c r="U206" s="26"/>
      <c r="V206" s="249">
        <v>1</v>
      </c>
      <c r="W206" s="249">
        <v>1</v>
      </c>
      <c r="X206" s="249">
        <v>1</v>
      </c>
      <c r="Y206" s="249">
        <v>1</v>
      </c>
      <c r="Z206" s="249">
        <v>1</v>
      </c>
      <c r="AA206" s="26"/>
      <c r="AB206" s="249">
        <v>1</v>
      </c>
      <c r="AC206" s="249">
        <v>1</v>
      </c>
      <c r="AD206" s="249">
        <v>1</v>
      </c>
      <c r="AE206" s="249">
        <v>1</v>
      </c>
      <c r="AF206" s="249">
        <v>1</v>
      </c>
      <c r="AG206" s="26"/>
      <c r="AH206" s="249">
        <v>1</v>
      </c>
    </row>
    <row r="207" spans="1:34" x14ac:dyDescent="0.2">
      <c r="A207" s="289"/>
      <c r="B207" s="284"/>
      <c r="C207" s="450"/>
      <c r="D207" s="273"/>
      <c r="E207" s="249"/>
      <c r="F207" s="249"/>
      <c r="G207" s="249"/>
      <c r="H207" s="249"/>
      <c r="I207" s="26"/>
      <c r="J207" s="249"/>
      <c r="K207" s="249"/>
      <c r="L207" s="249"/>
      <c r="M207" s="249"/>
      <c r="N207" s="249"/>
      <c r="O207" s="26"/>
      <c r="P207" s="249"/>
      <c r="Q207" s="249"/>
      <c r="R207" s="249"/>
      <c r="S207" s="249"/>
      <c r="T207" s="249"/>
      <c r="U207" s="26"/>
      <c r="V207" s="249"/>
      <c r="W207" s="249"/>
      <c r="X207" s="249"/>
      <c r="Y207" s="249"/>
      <c r="Z207" s="249"/>
      <c r="AA207" s="26"/>
      <c r="AB207" s="249"/>
      <c r="AC207" s="249"/>
      <c r="AD207" s="249"/>
      <c r="AE207" s="249"/>
      <c r="AF207" s="249"/>
      <c r="AG207" s="26"/>
      <c r="AH207" s="249"/>
    </row>
    <row r="208" spans="1:34" x14ac:dyDescent="0.2">
      <c r="A208" s="289"/>
      <c r="B208" s="288" t="s">
        <v>130</v>
      </c>
      <c r="C208" s="288"/>
      <c r="D208" s="273" t="s">
        <v>78</v>
      </c>
      <c r="E208" s="249">
        <f>18.339/22</f>
        <v>0.83359090909090905</v>
      </c>
      <c r="F208" s="249">
        <f>18.339/22</f>
        <v>0.83359090909090905</v>
      </c>
      <c r="G208" s="249">
        <f>18.339/22</f>
        <v>0.83359090909090905</v>
      </c>
      <c r="H208" s="249">
        <f>18.339/22</f>
        <v>0.83359090909090905</v>
      </c>
      <c r="I208" s="19"/>
      <c r="J208" s="249">
        <f>18.339/22</f>
        <v>0.83359090909090905</v>
      </c>
      <c r="K208" s="249">
        <f>18.339/22</f>
        <v>0.83359090909090905</v>
      </c>
      <c r="L208" s="249">
        <f>18.339/22</f>
        <v>0.83359090909090905</v>
      </c>
      <c r="M208" s="249">
        <f>18.339/22</f>
        <v>0.83359090909090905</v>
      </c>
      <c r="N208" s="249">
        <f>18.339/22</f>
        <v>0.83359090909090905</v>
      </c>
      <c r="O208" s="19"/>
      <c r="P208" s="249">
        <f>18.339/22</f>
        <v>0.83359090909090905</v>
      </c>
      <c r="Q208" s="249">
        <f>18.339/22</f>
        <v>0.83359090909090905</v>
      </c>
      <c r="R208" s="249">
        <f>18.339/22</f>
        <v>0.83359090909090905</v>
      </c>
      <c r="S208" s="249">
        <f>18.339/22</f>
        <v>0.83359090909090905</v>
      </c>
      <c r="T208" s="249">
        <f>18.339/22</f>
        <v>0.83359090909090905</v>
      </c>
      <c r="U208" s="19"/>
      <c r="V208" s="249">
        <f>18.339/22</f>
        <v>0.83359090909090905</v>
      </c>
      <c r="W208" s="249">
        <f>18.339/22</f>
        <v>0.83359090909090905</v>
      </c>
      <c r="X208" s="249">
        <f>18.339/22</f>
        <v>0.83359090909090905</v>
      </c>
      <c r="Y208" s="249">
        <f>18.339/22</f>
        <v>0.83359090909090905</v>
      </c>
      <c r="Z208" s="249">
        <f>18.339/22</f>
        <v>0.83359090909090905</v>
      </c>
      <c r="AA208" s="19"/>
      <c r="AB208" s="249">
        <f>18.339/22</f>
        <v>0.83359090909090905</v>
      </c>
      <c r="AC208" s="249">
        <f>18.339/22</f>
        <v>0.83359090909090905</v>
      </c>
      <c r="AD208" s="249">
        <f>18.339/22</f>
        <v>0.83359090909090905</v>
      </c>
      <c r="AE208" s="249">
        <f>18.339/22</f>
        <v>0.83359090909090905</v>
      </c>
      <c r="AF208" s="249">
        <f>18.339/22</f>
        <v>0.83359090909090905</v>
      </c>
      <c r="AG208" s="19"/>
      <c r="AH208" s="249">
        <f>18.339/22</f>
        <v>0.83359090909090905</v>
      </c>
    </row>
    <row r="209" spans="1:34" x14ac:dyDescent="0.2">
      <c r="A209" s="289"/>
      <c r="B209" s="288"/>
      <c r="C209" s="288"/>
      <c r="D209" s="273"/>
      <c r="E209" s="249"/>
      <c r="F209" s="249"/>
      <c r="G209" s="249"/>
      <c r="H209" s="249"/>
      <c r="I209" s="19"/>
      <c r="J209" s="249"/>
      <c r="K209" s="249"/>
      <c r="L209" s="249"/>
      <c r="M209" s="249"/>
      <c r="N209" s="249"/>
      <c r="O209" s="19"/>
      <c r="P209" s="249"/>
      <c r="Q209" s="249"/>
      <c r="R209" s="249"/>
      <c r="S209" s="249"/>
      <c r="T209" s="249"/>
      <c r="U209" s="19"/>
      <c r="V209" s="249"/>
      <c r="W209" s="249"/>
      <c r="X209" s="249"/>
      <c r="Y209" s="249"/>
      <c r="Z209" s="249"/>
      <c r="AA209" s="19"/>
      <c r="AB209" s="249"/>
      <c r="AC209" s="249"/>
      <c r="AD209" s="249"/>
      <c r="AE209" s="249"/>
      <c r="AF209" s="249"/>
      <c r="AG209" s="19"/>
      <c r="AH209" s="249"/>
    </row>
    <row r="210" spans="1:34" x14ac:dyDescent="0.2">
      <c r="A210" s="289"/>
      <c r="B210" s="284" t="s">
        <v>131</v>
      </c>
      <c r="C210" s="284"/>
      <c r="D210" s="273" t="s">
        <v>78</v>
      </c>
      <c r="E210" s="249">
        <f>4077/4077</f>
        <v>1</v>
      </c>
      <c r="F210" s="249">
        <f>4077/4077</f>
        <v>1</v>
      </c>
      <c r="G210" s="249">
        <f>4077/4077</f>
        <v>1</v>
      </c>
      <c r="H210" s="249">
        <f>4077/4077</f>
        <v>1</v>
      </c>
      <c r="I210" s="19"/>
      <c r="J210" s="249">
        <f>4077/4077</f>
        <v>1</v>
      </c>
      <c r="K210" s="249">
        <f>4077/4077</f>
        <v>1</v>
      </c>
      <c r="L210" s="249">
        <f>4077/4077</f>
        <v>1</v>
      </c>
      <c r="M210" s="249">
        <f>4077/4077</f>
        <v>1</v>
      </c>
      <c r="N210" s="249">
        <f>4077/4077</f>
        <v>1</v>
      </c>
      <c r="O210" s="19"/>
      <c r="P210" s="249">
        <f>4077/4077</f>
        <v>1</v>
      </c>
      <c r="Q210" s="249">
        <v>1</v>
      </c>
      <c r="R210" s="249">
        <v>1</v>
      </c>
      <c r="S210" s="249">
        <v>1</v>
      </c>
      <c r="T210" s="249">
        <v>1</v>
      </c>
      <c r="U210" s="19"/>
      <c r="V210" s="249">
        <v>1</v>
      </c>
      <c r="W210" s="249">
        <v>1</v>
      </c>
      <c r="X210" s="249">
        <v>1</v>
      </c>
      <c r="Y210" s="249">
        <v>1</v>
      </c>
      <c r="Z210" s="249">
        <v>1</v>
      </c>
      <c r="AA210" s="19"/>
      <c r="AB210" s="249">
        <v>1</v>
      </c>
      <c r="AC210" s="249">
        <v>1</v>
      </c>
      <c r="AD210" s="249">
        <v>1</v>
      </c>
      <c r="AE210" s="249">
        <v>1</v>
      </c>
      <c r="AF210" s="249">
        <v>1</v>
      </c>
      <c r="AG210" s="19"/>
      <c r="AH210" s="249">
        <v>1</v>
      </c>
    </row>
    <row r="211" spans="1:34" x14ac:dyDescent="0.2">
      <c r="A211" s="289"/>
      <c r="B211" s="284"/>
      <c r="C211" s="284"/>
      <c r="D211" s="273"/>
      <c r="E211" s="249"/>
      <c r="F211" s="249"/>
      <c r="G211" s="249"/>
      <c r="H211" s="249"/>
      <c r="I211" s="19"/>
      <c r="J211" s="249"/>
      <c r="K211" s="249"/>
      <c r="L211" s="249"/>
      <c r="M211" s="249"/>
      <c r="N211" s="249"/>
      <c r="O211" s="19"/>
      <c r="P211" s="249"/>
      <c r="Q211" s="249"/>
      <c r="R211" s="249"/>
      <c r="S211" s="249"/>
      <c r="T211" s="249"/>
      <c r="U211" s="19"/>
      <c r="V211" s="249"/>
      <c r="W211" s="249"/>
      <c r="X211" s="249"/>
      <c r="Y211" s="249"/>
      <c r="Z211" s="249"/>
      <c r="AA211" s="19"/>
      <c r="AB211" s="249"/>
      <c r="AC211" s="249"/>
      <c r="AD211" s="249"/>
      <c r="AE211" s="249"/>
      <c r="AF211" s="249"/>
      <c r="AG211" s="19"/>
      <c r="AH211" s="249"/>
    </row>
    <row r="212" spans="1:34" x14ac:dyDescent="0.2">
      <c r="A212" s="17">
        <v>2.2000000000000002</v>
      </c>
      <c r="B212" s="279" t="s">
        <v>33</v>
      </c>
      <c r="C212" s="505"/>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2"/>
    </row>
    <row r="213" spans="1:34" x14ac:dyDescent="0.2">
      <c r="A213" s="289"/>
      <c r="B213" s="284" t="s">
        <v>43</v>
      </c>
      <c r="C213" s="284"/>
      <c r="D213" s="273" t="s">
        <v>78</v>
      </c>
      <c r="E213" s="249">
        <f>12.03/22</f>
        <v>0.54681818181818176</v>
      </c>
      <c r="F213" s="249">
        <f>12.03/22</f>
        <v>0.54681818181818176</v>
      </c>
      <c r="G213" s="249">
        <f>12.03/22</f>
        <v>0.54681818181818176</v>
      </c>
      <c r="H213" s="249">
        <f>12.03/22</f>
        <v>0.54681818181818176</v>
      </c>
      <c r="I213" s="19"/>
      <c r="J213" s="249">
        <f>12.03/22</f>
        <v>0.54681818181818176</v>
      </c>
      <c r="K213" s="249">
        <f>12.03/22</f>
        <v>0.54681818181818176</v>
      </c>
      <c r="L213" s="249">
        <f>12.03/22</f>
        <v>0.54681818181818176</v>
      </c>
      <c r="M213" s="249">
        <f>12.03/22</f>
        <v>0.54681818181818176</v>
      </c>
      <c r="N213" s="249">
        <f>12.03/22</f>
        <v>0.54681818181818176</v>
      </c>
      <c r="O213" s="19"/>
      <c r="P213" s="249">
        <f>12.03/22</f>
        <v>0.54681818181818176</v>
      </c>
      <c r="Q213" s="249">
        <f>12.03/22</f>
        <v>0.54681818181818176</v>
      </c>
      <c r="R213" s="249">
        <f>12.03/22</f>
        <v>0.54681818181818176</v>
      </c>
      <c r="S213" s="249">
        <f>12.03/22</f>
        <v>0.54681818181818176</v>
      </c>
      <c r="T213" s="249">
        <f>12.03/22</f>
        <v>0.54681818181818176</v>
      </c>
      <c r="U213" s="19"/>
      <c r="V213" s="249">
        <f>12.03/22</f>
        <v>0.54681818181818176</v>
      </c>
      <c r="W213" s="249">
        <f>12.03/22</f>
        <v>0.54681818181818176</v>
      </c>
      <c r="X213" s="249">
        <f>12.03/22</f>
        <v>0.54681818181818176</v>
      </c>
      <c r="Y213" s="249">
        <f>12.03/22</f>
        <v>0.54681818181818176</v>
      </c>
      <c r="Z213" s="249">
        <f>12.03/22</f>
        <v>0.54681818181818176</v>
      </c>
      <c r="AA213" s="19"/>
      <c r="AB213" s="249">
        <f>12.03/22</f>
        <v>0.54681818181818176</v>
      </c>
      <c r="AC213" s="249">
        <f>12.03/22</f>
        <v>0.54681818181818176</v>
      </c>
      <c r="AD213" s="249">
        <f>12.03/22</f>
        <v>0.54681818181818176</v>
      </c>
      <c r="AE213" s="249">
        <f>12.03/22</f>
        <v>0.54681818181818176</v>
      </c>
      <c r="AF213" s="249">
        <f>12.03/22</f>
        <v>0.54681818181818176</v>
      </c>
      <c r="AG213" s="19"/>
      <c r="AH213" s="249">
        <f>12.03/22</f>
        <v>0.54681818181818176</v>
      </c>
    </row>
    <row r="214" spans="1:34" x14ac:dyDescent="0.2">
      <c r="A214" s="289"/>
      <c r="B214" s="284"/>
      <c r="C214" s="284"/>
      <c r="D214" s="273"/>
      <c r="E214" s="249"/>
      <c r="F214" s="249"/>
      <c r="G214" s="249"/>
      <c r="H214" s="249"/>
      <c r="I214" s="19"/>
      <c r="J214" s="249"/>
      <c r="K214" s="249"/>
      <c r="L214" s="249"/>
      <c r="M214" s="249"/>
      <c r="N214" s="249"/>
      <c r="O214" s="19"/>
      <c r="P214" s="249"/>
      <c r="Q214" s="249"/>
      <c r="R214" s="249"/>
      <c r="S214" s="249"/>
      <c r="T214" s="249"/>
      <c r="U214" s="19"/>
      <c r="V214" s="249"/>
      <c r="W214" s="249"/>
      <c r="X214" s="249"/>
      <c r="Y214" s="249"/>
      <c r="Z214" s="249"/>
      <c r="AA214" s="19"/>
      <c r="AB214" s="249"/>
      <c r="AC214" s="249"/>
      <c r="AD214" s="249"/>
      <c r="AE214" s="249"/>
      <c r="AF214" s="249"/>
      <c r="AG214" s="19"/>
      <c r="AH214" s="249"/>
    </row>
    <row r="215" spans="1:34" x14ac:dyDescent="0.2">
      <c r="A215" s="289"/>
      <c r="B215" s="284" t="s">
        <v>44</v>
      </c>
      <c r="C215" s="284"/>
      <c r="D215" s="273" t="s">
        <v>78</v>
      </c>
      <c r="E215" s="249">
        <v>1</v>
      </c>
      <c r="F215" s="249">
        <v>1</v>
      </c>
      <c r="G215" s="249">
        <v>1</v>
      </c>
      <c r="H215" s="249">
        <v>1</v>
      </c>
      <c r="I215" s="19"/>
      <c r="J215" s="249">
        <v>1</v>
      </c>
      <c r="K215" s="249">
        <v>1</v>
      </c>
      <c r="L215" s="249">
        <v>1</v>
      </c>
      <c r="M215" s="249">
        <v>1</v>
      </c>
      <c r="N215" s="249">
        <v>1</v>
      </c>
      <c r="O215" s="19"/>
      <c r="P215" s="249">
        <v>1</v>
      </c>
      <c r="Q215" s="249">
        <v>1</v>
      </c>
      <c r="R215" s="249">
        <v>1</v>
      </c>
      <c r="S215" s="249">
        <v>1</v>
      </c>
      <c r="T215" s="249">
        <v>1</v>
      </c>
      <c r="U215" s="19"/>
      <c r="V215" s="249">
        <v>1</v>
      </c>
      <c r="W215" s="249">
        <f>10.177/(10.177+0.779+19.281)</f>
        <v>0.33657439560802993</v>
      </c>
      <c r="X215" s="249">
        <f>10.177/(10.177+0.779+19.281)</f>
        <v>0.33657439560802993</v>
      </c>
      <c r="Y215" s="249">
        <f>10.177/(10.177+0.779+19.281)</f>
        <v>0.33657439560802993</v>
      </c>
      <c r="Z215" s="249">
        <f>10.177/(10.177+0.779+19.281)</f>
        <v>0.33657439560802993</v>
      </c>
      <c r="AA215" s="19"/>
      <c r="AB215" s="249">
        <f>10.177/(10.177+0.779+19.281)</f>
        <v>0.33657439560802993</v>
      </c>
      <c r="AC215" s="249">
        <v>1</v>
      </c>
      <c r="AD215" s="249">
        <v>1</v>
      </c>
      <c r="AE215" s="249">
        <v>1</v>
      </c>
      <c r="AF215" s="249">
        <v>1</v>
      </c>
      <c r="AG215" s="19"/>
      <c r="AH215" s="249">
        <v>1</v>
      </c>
    </row>
    <row r="216" spans="1:34" ht="20.25" customHeight="1" x14ac:dyDescent="0.2">
      <c r="A216" s="289"/>
      <c r="B216" s="284"/>
      <c r="C216" s="284"/>
      <c r="D216" s="273"/>
      <c r="E216" s="249"/>
      <c r="F216" s="249"/>
      <c r="G216" s="249"/>
      <c r="H216" s="249"/>
      <c r="I216" s="19"/>
      <c r="J216" s="249"/>
      <c r="K216" s="249"/>
      <c r="L216" s="249"/>
      <c r="M216" s="249"/>
      <c r="N216" s="249"/>
      <c r="O216" s="19"/>
      <c r="P216" s="249"/>
      <c r="Q216" s="249"/>
      <c r="R216" s="249"/>
      <c r="S216" s="249"/>
      <c r="T216" s="249"/>
      <c r="U216" s="19"/>
      <c r="V216" s="249"/>
      <c r="W216" s="249"/>
      <c r="X216" s="249"/>
      <c r="Y216" s="249"/>
      <c r="Z216" s="249"/>
      <c r="AA216" s="19"/>
      <c r="AB216" s="249"/>
      <c r="AC216" s="249"/>
      <c r="AD216" s="249"/>
      <c r="AE216" s="249"/>
      <c r="AF216" s="249"/>
      <c r="AG216" s="19"/>
      <c r="AH216" s="249"/>
    </row>
    <row r="217" spans="1:34" x14ac:dyDescent="0.2">
      <c r="A217" s="289"/>
      <c r="B217" s="284" t="s">
        <v>153</v>
      </c>
      <c r="C217" s="284"/>
      <c r="D217" s="25" t="s">
        <v>100</v>
      </c>
      <c r="E217" s="250">
        <v>3</v>
      </c>
      <c r="F217" s="250">
        <v>3</v>
      </c>
      <c r="G217" s="250">
        <v>3</v>
      </c>
      <c r="H217" s="250">
        <v>3</v>
      </c>
      <c r="I217" s="26"/>
      <c r="J217" s="250">
        <v>3</v>
      </c>
      <c r="K217" s="250">
        <v>3</v>
      </c>
      <c r="L217" s="250">
        <v>3</v>
      </c>
      <c r="M217" s="250">
        <v>3</v>
      </c>
      <c r="N217" s="250">
        <v>3</v>
      </c>
      <c r="O217" s="26"/>
      <c r="P217" s="250">
        <v>3</v>
      </c>
      <c r="Q217" s="250">
        <v>3</v>
      </c>
      <c r="R217" s="250">
        <v>3</v>
      </c>
      <c r="S217" s="250">
        <v>3</v>
      </c>
      <c r="T217" s="250">
        <v>3</v>
      </c>
      <c r="U217" s="26"/>
      <c r="V217" s="250">
        <v>3</v>
      </c>
      <c r="W217" s="250">
        <v>3</v>
      </c>
      <c r="X217" s="250">
        <v>3</v>
      </c>
      <c r="Y217" s="250">
        <v>3</v>
      </c>
      <c r="Z217" s="250">
        <v>3</v>
      </c>
      <c r="AA217" s="26"/>
      <c r="AB217" s="250">
        <v>3</v>
      </c>
      <c r="AC217" s="250">
        <v>3</v>
      </c>
      <c r="AD217" s="250">
        <v>3</v>
      </c>
      <c r="AE217" s="250">
        <v>3</v>
      </c>
      <c r="AF217" s="250">
        <v>3</v>
      </c>
      <c r="AG217" s="26"/>
      <c r="AH217" s="250">
        <v>3</v>
      </c>
    </row>
    <row r="218" spans="1:34" ht="19.5" customHeight="1" x14ac:dyDescent="0.2">
      <c r="A218" s="289"/>
      <c r="B218" s="284"/>
      <c r="C218" s="284"/>
      <c r="D218" s="19" t="s">
        <v>31</v>
      </c>
      <c r="E218" s="251"/>
      <c r="F218" s="251"/>
      <c r="G218" s="251"/>
      <c r="H218" s="251"/>
      <c r="I218" s="26"/>
      <c r="J218" s="251"/>
      <c r="K218" s="251"/>
      <c r="L218" s="251"/>
      <c r="M218" s="251"/>
      <c r="N218" s="251"/>
      <c r="O218" s="26"/>
      <c r="P218" s="251"/>
      <c r="Q218" s="251"/>
      <c r="R218" s="251"/>
      <c r="S218" s="251"/>
      <c r="T218" s="251"/>
      <c r="U218" s="26"/>
      <c r="V218" s="251"/>
      <c r="W218" s="251"/>
      <c r="X218" s="251"/>
      <c r="Y218" s="251"/>
      <c r="Z218" s="251"/>
      <c r="AA218" s="26"/>
      <c r="AB218" s="251"/>
      <c r="AC218" s="251"/>
      <c r="AD218" s="251"/>
      <c r="AE218" s="251"/>
      <c r="AF218" s="251"/>
      <c r="AG218" s="26"/>
      <c r="AH218" s="251"/>
    </row>
    <row r="219" spans="1:34" x14ac:dyDescent="0.2">
      <c r="A219" s="23"/>
      <c r="B219" s="33"/>
      <c r="C219" s="33"/>
      <c r="D219" s="33"/>
      <c r="E219" s="48"/>
      <c r="F219" s="48"/>
      <c r="G219" s="48"/>
      <c r="H219" s="48"/>
      <c r="I219" s="40"/>
      <c r="J219" s="40"/>
      <c r="K219" s="48"/>
      <c r="L219" s="48"/>
      <c r="M219" s="48"/>
      <c r="N219" s="48"/>
      <c r="O219" s="40"/>
      <c r="P219" s="40"/>
      <c r="Q219" s="48"/>
      <c r="R219" s="48"/>
      <c r="S219" s="48"/>
      <c r="T219" s="48"/>
      <c r="U219" s="40"/>
      <c r="V219" s="40"/>
      <c r="W219" s="48"/>
      <c r="X219" s="48"/>
      <c r="Y219" s="48"/>
      <c r="Z219" s="48"/>
      <c r="AA219" s="40"/>
      <c r="AB219" s="40"/>
      <c r="AC219" s="48"/>
      <c r="AD219" s="48"/>
      <c r="AE219" s="48"/>
      <c r="AF219" s="48"/>
      <c r="AG219" s="40"/>
      <c r="AH219" s="40"/>
    </row>
    <row r="220" spans="1:34" x14ac:dyDescent="0.2">
      <c r="A220" s="17" t="s">
        <v>34</v>
      </c>
      <c r="B220" s="49"/>
      <c r="C220" s="49"/>
      <c r="D220" s="49"/>
      <c r="E220" s="40"/>
      <c r="F220" s="40"/>
      <c r="G220" s="50"/>
      <c r="H220" s="40"/>
      <c r="I220" s="40"/>
      <c r="J220" s="40"/>
      <c r="K220" s="40"/>
      <c r="L220" s="40"/>
      <c r="M220" s="50"/>
      <c r="N220" s="40"/>
      <c r="O220" s="40"/>
      <c r="P220" s="40"/>
      <c r="Q220" s="40"/>
      <c r="R220" s="40"/>
      <c r="S220" s="50"/>
      <c r="T220" s="40"/>
      <c r="U220" s="40"/>
      <c r="V220" s="40"/>
      <c r="W220" s="40"/>
      <c r="X220" s="40"/>
      <c r="Y220" s="50"/>
      <c r="Z220" s="40"/>
      <c r="AA220" s="40"/>
      <c r="AB220" s="40"/>
      <c r="AC220" s="40"/>
      <c r="AD220" s="40"/>
      <c r="AE220" s="50"/>
      <c r="AF220" s="40"/>
      <c r="AG220" s="40"/>
      <c r="AH220" s="40"/>
    </row>
    <row r="221" spans="1:34" x14ac:dyDescent="0.2">
      <c r="A221" s="17"/>
      <c r="B221" s="49"/>
      <c r="C221" s="49"/>
      <c r="D221" s="49"/>
      <c r="E221" s="40"/>
      <c r="F221" s="40"/>
      <c r="G221" s="40"/>
      <c r="H221" s="40"/>
      <c r="I221" s="19"/>
      <c r="J221" s="19"/>
      <c r="K221" s="40"/>
      <c r="L221" s="40"/>
      <c r="M221" s="40"/>
      <c r="N221" s="40"/>
      <c r="O221" s="19"/>
      <c r="P221" s="19"/>
      <c r="Q221" s="40"/>
      <c r="R221" s="40"/>
      <c r="S221" s="40"/>
      <c r="T221" s="40"/>
      <c r="U221" s="19"/>
      <c r="V221" s="19"/>
      <c r="W221" s="40"/>
      <c r="X221" s="40"/>
      <c r="Y221" s="40"/>
      <c r="Z221" s="40"/>
      <c r="AA221" s="19"/>
      <c r="AB221" s="19"/>
      <c r="AC221" s="40"/>
      <c r="AD221" s="40"/>
      <c r="AE221" s="40"/>
      <c r="AF221" s="40"/>
      <c r="AG221" s="19"/>
      <c r="AH221" s="19"/>
    </row>
    <row r="222" spans="1:34" ht="33" customHeight="1" x14ac:dyDescent="0.2">
      <c r="A222" s="290"/>
      <c r="B222" s="293" t="s">
        <v>38</v>
      </c>
      <c r="C222" s="290"/>
      <c r="D222" s="22"/>
      <c r="E222" s="22">
        <v>2026</v>
      </c>
      <c r="F222" s="22"/>
      <c r="G222" s="259"/>
      <c r="H222" s="259"/>
      <c r="I222" s="21" t="s">
        <v>5</v>
      </c>
      <c r="J222" s="21"/>
      <c r="K222" s="22">
        <v>2027</v>
      </c>
      <c r="L222" s="22"/>
      <c r="M222" s="259"/>
      <c r="N222" s="259"/>
      <c r="O222" s="21" t="s">
        <v>5</v>
      </c>
      <c r="P222" s="21"/>
      <c r="Q222" s="22">
        <v>2028</v>
      </c>
      <c r="R222" s="22"/>
      <c r="S222" s="259"/>
      <c r="T222" s="259"/>
      <c r="U222" s="21" t="s">
        <v>5</v>
      </c>
      <c r="V222" s="21"/>
      <c r="W222" s="22"/>
      <c r="X222" s="22"/>
      <c r="Y222" s="259">
        <v>2029</v>
      </c>
      <c r="Z222" s="259"/>
      <c r="AA222" s="21" t="s">
        <v>5</v>
      </c>
      <c r="AB222" s="21"/>
      <c r="AC222" s="22">
        <v>2030</v>
      </c>
      <c r="AD222" s="22"/>
      <c r="AE222" s="259"/>
      <c r="AF222" s="259"/>
      <c r="AG222" s="21" t="s">
        <v>5</v>
      </c>
      <c r="AH222" s="21"/>
    </row>
    <row r="223" spans="1:34" ht="23.25" customHeight="1" x14ac:dyDescent="0.2">
      <c r="A223" s="290"/>
      <c r="B223" s="293"/>
      <c r="C223" s="290"/>
      <c r="D223" s="40"/>
      <c r="E223" s="17" t="s">
        <v>1</v>
      </c>
      <c r="F223" s="17" t="s">
        <v>2</v>
      </c>
      <c r="G223" s="17" t="s">
        <v>3</v>
      </c>
      <c r="H223" s="17" t="s">
        <v>4</v>
      </c>
      <c r="I223" s="22">
        <v>9</v>
      </c>
      <c r="J223" s="22"/>
      <c r="K223" s="17" t="s">
        <v>1</v>
      </c>
      <c r="L223" s="17" t="s">
        <v>2</v>
      </c>
      <c r="M223" s="17" t="s">
        <v>3</v>
      </c>
      <c r="N223" s="17" t="s">
        <v>4</v>
      </c>
      <c r="O223" s="22">
        <v>9</v>
      </c>
      <c r="P223" s="22"/>
      <c r="Q223" s="17" t="s">
        <v>1</v>
      </c>
      <c r="R223" s="17" t="s">
        <v>2</v>
      </c>
      <c r="S223" s="17" t="s">
        <v>3</v>
      </c>
      <c r="T223" s="17" t="s">
        <v>4</v>
      </c>
      <c r="U223" s="22">
        <v>9</v>
      </c>
      <c r="V223" s="22"/>
      <c r="W223" s="17"/>
      <c r="X223" s="17"/>
      <c r="Y223" s="17" t="s">
        <v>3</v>
      </c>
      <c r="Z223" s="17" t="s">
        <v>4</v>
      </c>
      <c r="AA223" s="22">
        <v>9</v>
      </c>
      <c r="AB223" s="22"/>
      <c r="AC223" s="17" t="s">
        <v>1</v>
      </c>
      <c r="AD223" s="17" t="s">
        <v>2</v>
      </c>
      <c r="AE223" s="17" t="s">
        <v>3</v>
      </c>
      <c r="AF223" s="17" t="s">
        <v>4</v>
      </c>
      <c r="AG223" s="22">
        <v>9</v>
      </c>
      <c r="AH223" s="22"/>
    </row>
    <row r="224" spans="1:34" x14ac:dyDescent="0.2">
      <c r="A224" s="22">
        <v>0</v>
      </c>
      <c r="B224" s="22">
        <v>1</v>
      </c>
      <c r="C224" s="22">
        <v>2</v>
      </c>
      <c r="D224" s="22">
        <v>3</v>
      </c>
      <c r="E224" s="22" t="s">
        <v>113</v>
      </c>
      <c r="F224" s="22" t="s">
        <v>114</v>
      </c>
      <c r="G224" s="22" t="s">
        <v>115</v>
      </c>
      <c r="H224" s="22" t="s">
        <v>116</v>
      </c>
      <c r="I224" s="22"/>
      <c r="J224" s="22"/>
      <c r="K224" s="22" t="s">
        <v>113</v>
      </c>
      <c r="L224" s="22" t="s">
        <v>114</v>
      </c>
      <c r="M224" s="22" t="s">
        <v>115</v>
      </c>
      <c r="N224" s="22" t="s">
        <v>116</v>
      </c>
      <c r="O224" s="22"/>
      <c r="P224" s="22"/>
      <c r="Q224" s="22" t="s">
        <v>113</v>
      </c>
      <c r="R224" s="22" t="s">
        <v>114</v>
      </c>
      <c r="S224" s="22" t="s">
        <v>115</v>
      </c>
      <c r="T224" s="22" t="s">
        <v>116</v>
      </c>
      <c r="U224" s="22"/>
      <c r="V224" s="22"/>
      <c r="W224" s="22" t="s">
        <v>113</v>
      </c>
      <c r="X224" s="22" t="s">
        <v>114</v>
      </c>
      <c r="Y224" s="22" t="s">
        <v>115</v>
      </c>
      <c r="Z224" s="22" t="s">
        <v>116</v>
      </c>
      <c r="AA224" s="22"/>
      <c r="AB224" s="22"/>
      <c r="AC224" s="22" t="s">
        <v>113</v>
      </c>
      <c r="AD224" s="22" t="s">
        <v>114</v>
      </c>
      <c r="AE224" s="22" t="s">
        <v>115</v>
      </c>
      <c r="AF224" s="22" t="s">
        <v>116</v>
      </c>
      <c r="AG224" s="22"/>
      <c r="AH224" s="22"/>
    </row>
    <row r="225" spans="1:34" x14ac:dyDescent="0.2">
      <c r="A225" s="17">
        <v>3.1</v>
      </c>
      <c r="B225" s="279" t="s">
        <v>105</v>
      </c>
      <c r="C225" s="505"/>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2"/>
    </row>
    <row r="226" spans="1:34" x14ac:dyDescent="0.2">
      <c r="A226" s="289"/>
      <c r="B226" s="284" t="s">
        <v>45</v>
      </c>
      <c r="C226" s="284"/>
      <c r="D226" s="25" t="s">
        <v>101</v>
      </c>
      <c r="E226" s="23">
        <v>633</v>
      </c>
      <c r="F226" s="23">
        <v>635</v>
      </c>
      <c r="G226" s="23">
        <v>637</v>
      </c>
      <c r="H226" s="23">
        <v>639</v>
      </c>
      <c r="I226" s="41"/>
      <c r="J226" s="41">
        <v>639</v>
      </c>
      <c r="K226" s="23">
        <v>641</v>
      </c>
      <c r="L226" s="23">
        <v>643</v>
      </c>
      <c r="M226" s="23">
        <v>645</v>
      </c>
      <c r="N226" s="23">
        <v>647</v>
      </c>
      <c r="O226" s="41"/>
      <c r="P226" s="41">
        <v>647</v>
      </c>
      <c r="Q226" s="23">
        <v>649</v>
      </c>
      <c r="R226" s="23">
        <v>651</v>
      </c>
      <c r="S226" s="23">
        <v>653</v>
      </c>
      <c r="T226" s="23">
        <v>655</v>
      </c>
      <c r="U226" s="23"/>
      <c r="V226" s="41">
        <v>655</v>
      </c>
      <c r="W226" s="23">
        <v>657</v>
      </c>
      <c r="X226" s="23">
        <v>659</v>
      </c>
      <c r="Y226" s="23">
        <v>661</v>
      </c>
      <c r="Z226" s="23">
        <v>663</v>
      </c>
      <c r="AA226" s="41"/>
      <c r="AB226" s="85">
        <v>663</v>
      </c>
      <c r="AC226" s="23">
        <v>665</v>
      </c>
      <c r="AD226" s="23">
        <v>667</v>
      </c>
      <c r="AE226" s="23">
        <v>669</v>
      </c>
      <c r="AF226" s="23">
        <v>671</v>
      </c>
      <c r="AG226" s="41"/>
      <c r="AH226" s="85">
        <v>671</v>
      </c>
    </row>
    <row r="227" spans="1:34" x14ac:dyDescent="0.2">
      <c r="A227" s="289"/>
      <c r="B227" s="284"/>
      <c r="C227" s="284"/>
      <c r="D227" s="25" t="s">
        <v>32</v>
      </c>
      <c r="E227" s="26">
        <v>18.338999999999999</v>
      </c>
      <c r="F227" s="26">
        <v>18.338999999999999</v>
      </c>
      <c r="G227" s="26">
        <v>18.338999999999999</v>
      </c>
      <c r="H227" s="26">
        <v>18.338999999999999</v>
      </c>
      <c r="I227" s="26"/>
      <c r="J227" s="26">
        <v>18.338999999999999</v>
      </c>
      <c r="K227" s="26">
        <v>18.338999999999999</v>
      </c>
      <c r="L227" s="26">
        <v>18.338999999999999</v>
      </c>
      <c r="M227" s="26">
        <v>18.338999999999999</v>
      </c>
      <c r="N227" s="26">
        <v>18.338999999999999</v>
      </c>
      <c r="O227" s="26"/>
      <c r="P227" s="26">
        <v>18.338999999999999</v>
      </c>
      <c r="Q227" s="26">
        <v>18.338999999999999</v>
      </c>
      <c r="R227" s="26">
        <v>18.338999999999999</v>
      </c>
      <c r="S227" s="26">
        <v>18.338999999999999</v>
      </c>
      <c r="T227" s="26">
        <v>18.338999999999999</v>
      </c>
      <c r="U227" s="44"/>
      <c r="V227" s="26">
        <v>18.338999999999999</v>
      </c>
      <c r="W227" s="26">
        <v>18.338999999999999</v>
      </c>
      <c r="X227" s="26">
        <v>18.338999999999999</v>
      </c>
      <c r="Y227" s="26">
        <v>18.338999999999999</v>
      </c>
      <c r="Z227" s="26">
        <v>18.338999999999999</v>
      </c>
      <c r="AA227" s="26"/>
      <c r="AB227" s="26">
        <v>18.338999999999999</v>
      </c>
      <c r="AC227" s="26">
        <v>18.338999999999999</v>
      </c>
      <c r="AD227" s="26">
        <v>18.338999999999999</v>
      </c>
      <c r="AE227" s="26">
        <v>18.338999999999999</v>
      </c>
      <c r="AF227" s="26">
        <v>18.338999999999999</v>
      </c>
      <c r="AG227" s="26"/>
      <c r="AH227" s="26">
        <v>18.338999999999999</v>
      </c>
    </row>
    <row r="228" spans="1:34" x14ac:dyDescent="0.2">
      <c r="A228" s="289"/>
      <c r="B228" s="284" t="s">
        <v>46</v>
      </c>
      <c r="C228" s="284"/>
      <c r="D228" s="25" t="s">
        <v>32</v>
      </c>
      <c r="E228" s="26">
        <v>18.338999999999999</v>
      </c>
      <c r="F228" s="26">
        <v>18.338999999999999</v>
      </c>
      <c r="G228" s="26">
        <v>18.338999999999999</v>
      </c>
      <c r="H228" s="26">
        <v>18.338999999999999</v>
      </c>
      <c r="I228" s="26"/>
      <c r="J228" s="26">
        <v>18.338999999999999</v>
      </c>
      <c r="K228" s="26">
        <v>18.338999999999999</v>
      </c>
      <c r="L228" s="26">
        <v>18.338999999999999</v>
      </c>
      <c r="M228" s="26">
        <v>18.338999999999999</v>
      </c>
      <c r="N228" s="26">
        <v>18.338999999999999</v>
      </c>
      <c r="O228" s="26"/>
      <c r="P228" s="26">
        <v>18.338999999999999</v>
      </c>
      <c r="Q228" s="26">
        <v>18.338999999999999</v>
      </c>
      <c r="R228" s="26">
        <v>18.338999999999999</v>
      </c>
      <c r="S228" s="26">
        <v>18.338999999999999</v>
      </c>
      <c r="T228" s="26">
        <v>18.338999999999999</v>
      </c>
      <c r="U228" s="44"/>
      <c r="V228" s="26">
        <v>18.338999999999999</v>
      </c>
      <c r="W228" s="26">
        <v>18.338999999999999</v>
      </c>
      <c r="X228" s="26">
        <v>18.338999999999999</v>
      </c>
      <c r="Y228" s="26">
        <v>18.338999999999999</v>
      </c>
      <c r="Z228" s="26">
        <v>18.338999999999999</v>
      </c>
      <c r="AA228" s="26"/>
      <c r="AB228" s="26">
        <v>18.338999999999999</v>
      </c>
      <c r="AC228" s="26">
        <v>18.338999999999999</v>
      </c>
      <c r="AD228" s="26">
        <v>18.338999999999999</v>
      </c>
      <c r="AE228" s="26">
        <v>18.338999999999999</v>
      </c>
      <c r="AF228" s="26">
        <v>18.338999999999999</v>
      </c>
      <c r="AG228" s="26"/>
      <c r="AH228" s="26">
        <v>18.338999999999999</v>
      </c>
    </row>
    <row r="229" spans="1:34" x14ac:dyDescent="0.2">
      <c r="A229" s="289"/>
      <c r="B229" s="284"/>
      <c r="C229" s="284"/>
      <c r="D229" s="25" t="s">
        <v>143</v>
      </c>
      <c r="E229" s="51">
        <v>1560.1025</v>
      </c>
      <c r="F229" s="51">
        <v>1562.385</v>
      </c>
      <c r="G229" s="51">
        <v>1564.6675</v>
      </c>
      <c r="H229" s="51">
        <v>1566.95</v>
      </c>
      <c r="I229" s="41"/>
      <c r="J229" s="41">
        <v>1566.95</v>
      </c>
      <c r="K229" s="51">
        <v>1569.2325000000001</v>
      </c>
      <c r="L229" s="51">
        <v>1571.5150000000001</v>
      </c>
      <c r="M229" s="51">
        <v>1573.7974999999999</v>
      </c>
      <c r="N229" s="51">
        <v>1576.08</v>
      </c>
      <c r="O229" s="41"/>
      <c r="P229" s="41">
        <v>1576.08</v>
      </c>
      <c r="Q229" s="51">
        <v>1578.1624999999999</v>
      </c>
      <c r="R229" s="51">
        <v>1580.2449999999999</v>
      </c>
      <c r="S229" s="51">
        <v>1582.3275000000001</v>
      </c>
      <c r="T229" s="51">
        <v>1584.41</v>
      </c>
      <c r="U229" s="51"/>
      <c r="V229" s="41">
        <v>1584.41</v>
      </c>
      <c r="W229" s="51">
        <v>1586.2925</v>
      </c>
      <c r="X229" s="51">
        <v>1588.175</v>
      </c>
      <c r="Y229" s="51">
        <v>1590.0574999999999</v>
      </c>
      <c r="Z229" s="51">
        <v>1591.94</v>
      </c>
      <c r="AA229" s="41"/>
      <c r="AB229" s="41">
        <v>1591.94</v>
      </c>
      <c r="AC229" s="51">
        <v>1593.6224999999999</v>
      </c>
      <c r="AD229" s="51">
        <v>1595.3050000000001</v>
      </c>
      <c r="AE229" s="51">
        <v>1596.9875</v>
      </c>
      <c r="AF229" s="51">
        <v>1598.67</v>
      </c>
      <c r="AG229" s="41"/>
      <c r="AH229" s="41">
        <v>1598.67</v>
      </c>
    </row>
    <row r="230" spans="1:34" x14ac:dyDescent="0.2">
      <c r="A230" s="289"/>
      <c r="B230" s="284" t="s">
        <v>47</v>
      </c>
      <c r="C230" s="284"/>
      <c r="D230" s="25" t="s">
        <v>32</v>
      </c>
      <c r="E230" s="26">
        <v>21.963999999999999</v>
      </c>
      <c r="F230" s="26">
        <v>21.963999999999999</v>
      </c>
      <c r="G230" s="26">
        <v>21.963999999999999</v>
      </c>
      <c r="H230" s="26">
        <v>21.963999999999999</v>
      </c>
      <c r="I230" s="41"/>
      <c r="J230" s="26">
        <v>21.963999999999999</v>
      </c>
      <c r="K230" s="26">
        <v>21.963999999999999</v>
      </c>
      <c r="L230" s="26">
        <v>21.963999999999999</v>
      </c>
      <c r="M230" s="26">
        <v>21.963999999999999</v>
      </c>
      <c r="N230" s="26">
        <v>21.963999999999999</v>
      </c>
      <c r="O230" s="26"/>
      <c r="P230" s="26">
        <v>21.963999999999999</v>
      </c>
      <c r="Q230" s="26">
        <v>21.963999999999999</v>
      </c>
      <c r="R230" s="26">
        <v>21.963999999999999</v>
      </c>
      <c r="S230" s="26">
        <v>21.963999999999999</v>
      </c>
      <c r="T230" s="26">
        <v>21.963999999999999</v>
      </c>
      <c r="U230" s="44"/>
      <c r="V230" s="26">
        <v>21.963999999999999</v>
      </c>
      <c r="W230" s="26">
        <v>21.963999999999999</v>
      </c>
      <c r="X230" s="26">
        <v>21.963999999999999</v>
      </c>
      <c r="Y230" s="26">
        <v>21.963999999999999</v>
      </c>
      <c r="Z230" s="26">
        <v>21.963999999999999</v>
      </c>
      <c r="AA230" s="26"/>
      <c r="AB230" s="26">
        <v>21.963999999999999</v>
      </c>
      <c r="AC230" s="26">
        <v>21.963999999999999</v>
      </c>
      <c r="AD230" s="26">
        <v>21.963999999999999</v>
      </c>
      <c r="AE230" s="26">
        <v>21.963999999999999</v>
      </c>
      <c r="AF230" s="26">
        <v>21.963999999999999</v>
      </c>
      <c r="AG230" s="26"/>
      <c r="AH230" s="58">
        <v>21.963999999999999</v>
      </c>
    </row>
    <row r="231" spans="1:34" x14ac:dyDescent="0.2">
      <c r="A231" s="289"/>
      <c r="B231" s="284"/>
      <c r="C231" s="284"/>
      <c r="D231" s="25" t="s">
        <v>143</v>
      </c>
      <c r="E231" s="51">
        <v>1560.1025</v>
      </c>
      <c r="F231" s="51">
        <v>1562.385</v>
      </c>
      <c r="G231" s="51">
        <v>1564.6675</v>
      </c>
      <c r="H231" s="51">
        <v>1566.95</v>
      </c>
      <c r="I231" s="41"/>
      <c r="J231" s="41">
        <v>1566.95</v>
      </c>
      <c r="K231" s="51">
        <v>1569.2325000000001</v>
      </c>
      <c r="L231" s="51">
        <v>1571.5150000000001</v>
      </c>
      <c r="M231" s="51">
        <v>1573.7974999999999</v>
      </c>
      <c r="N231" s="51">
        <v>1576.08</v>
      </c>
      <c r="O231" s="41"/>
      <c r="P231" s="41">
        <v>1576.08</v>
      </c>
      <c r="Q231" s="51">
        <v>1578.1624999999999</v>
      </c>
      <c r="R231" s="51">
        <v>1580.2449999999999</v>
      </c>
      <c r="S231" s="51">
        <v>1582.3275000000001</v>
      </c>
      <c r="T231" s="51">
        <v>1584.41</v>
      </c>
      <c r="U231" s="51"/>
      <c r="V231" s="41">
        <v>1584.41</v>
      </c>
      <c r="W231" s="51">
        <v>1586.2925</v>
      </c>
      <c r="X231" s="51">
        <v>1588.175</v>
      </c>
      <c r="Y231" s="51">
        <v>1590.0574999999999</v>
      </c>
      <c r="Z231" s="51">
        <v>1591.94</v>
      </c>
      <c r="AA231" s="41"/>
      <c r="AB231" s="41">
        <v>1591.94</v>
      </c>
      <c r="AC231" s="51">
        <v>1593.6224999999999</v>
      </c>
      <c r="AD231" s="51">
        <v>1595.3050000000001</v>
      </c>
      <c r="AE231" s="51">
        <v>1596.9875</v>
      </c>
      <c r="AF231" s="51">
        <v>1598.67</v>
      </c>
      <c r="AG231" s="41"/>
      <c r="AH231" s="41">
        <v>1598.67</v>
      </c>
    </row>
    <row r="232" spans="1:34" x14ac:dyDescent="0.2">
      <c r="A232" s="289"/>
      <c r="B232" s="284" t="s">
        <v>36</v>
      </c>
      <c r="C232" s="284"/>
      <c r="D232" s="25" t="s">
        <v>144</v>
      </c>
      <c r="E232" s="23">
        <v>384</v>
      </c>
      <c r="F232" s="23">
        <v>384</v>
      </c>
      <c r="G232" s="23">
        <v>385</v>
      </c>
      <c r="H232" s="23">
        <v>385</v>
      </c>
      <c r="I232" s="41"/>
      <c r="J232" s="41">
        <v>385</v>
      </c>
      <c r="K232" s="23">
        <v>386</v>
      </c>
      <c r="L232" s="23">
        <v>386</v>
      </c>
      <c r="M232" s="23">
        <v>387</v>
      </c>
      <c r="N232" s="23">
        <v>387</v>
      </c>
      <c r="O232" s="41"/>
      <c r="P232" s="41">
        <v>387</v>
      </c>
      <c r="Q232" s="23">
        <v>388</v>
      </c>
      <c r="R232" s="23">
        <v>388</v>
      </c>
      <c r="S232" s="23">
        <v>389</v>
      </c>
      <c r="T232" s="23">
        <v>389</v>
      </c>
      <c r="U232" s="41"/>
      <c r="V232" s="41">
        <v>389</v>
      </c>
      <c r="W232" s="23">
        <v>390</v>
      </c>
      <c r="X232" s="23">
        <v>390</v>
      </c>
      <c r="Y232" s="23">
        <v>391</v>
      </c>
      <c r="Z232" s="23">
        <v>391</v>
      </c>
      <c r="AA232" s="41"/>
      <c r="AB232" s="41">
        <v>391</v>
      </c>
      <c r="AC232" s="23">
        <v>392</v>
      </c>
      <c r="AD232" s="23">
        <v>392</v>
      </c>
      <c r="AE232" s="23">
        <v>393</v>
      </c>
      <c r="AF232" s="23">
        <v>393</v>
      </c>
      <c r="AG232" s="41"/>
      <c r="AH232" s="41">
        <v>393</v>
      </c>
    </row>
    <row r="233" spans="1:34" x14ac:dyDescent="0.2">
      <c r="A233" s="289"/>
      <c r="B233" s="284"/>
      <c r="C233" s="284"/>
      <c r="D233" s="25" t="s">
        <v>32</v>
      </c>
      <c r="E233" s="26">
        <v>12.03</v>
      </c>
      <c r="F233" s="26">
        <v>12.03</v>
      </c>
      <c r="G233" s="26">
        <v>12.03</v>
      </c>
      <c r="H233" s="26">
        <v>12.03</v>
      </c>
      <c r="I233" s="41"/>
      <c r="J233" s="26">
        <v>12.03</v>
      </c>
      <c r="K233" s="26">
        <v>12.03</v>
      </c>
      <c r="L233" s="26">
        <v>12.03</v>
      </c>
      <c r="M233" s="26">
        <v>12.03</v>
      </c>
      <c r="N233" s="26">
        <v>12.03</v>
      </c>
      <c r="O233" s="41"/>
      <c r="P233" s="26">
        <v>12.03</v>
      </c>
      <c r="Q233" s="26">
        <v>12.03</v>
      </c>
      <c r="R233" s="26">
        <v>12.03</v>
      </c>
      <c r="S233" s="26">
        <v>12.03</v>
      </c>
      <c r="T233" s="26">
        <v>12.03</v>
      </c>
      <c r="U233" s="41"/>
      <c r="V233" s="26">
        <v>12.03</v>
      </c>
      <c r="W233" s="26">
        <v>12.03</v>
      </c>
      <c r="X233" s="26">
        <v>12.03</v>
      </c>
      <c r="Y233" s="26">
        <v>12.03</v>
      </c>
      <c r="Z233" s="26">
        <v>12.03</v>
      </c>
      <c r="AA233" s="41"/>
      <c r="AB233" s="26">
        <v>12.03</v>
      </c>
      <c r="AC233" s="26">
        <v>12.03</v>
      </c>
      <c r="AD233" s="26">
        <v>12.03</v>
      </c>
      <c r="AE233" s="26">
        <v>12.03</v>
      </c>
      <c r="AF233" s="26">
        <v>12.03</v>
      </c>
      <c r="AG233" s="41"/>
      <c r="AH233" s="26">
        <f>AB233</f>
        <v>12.03</v>
      </c>
    </row>
    <row r="234" spans="1:34" x14ac:dyDescent="0.2">
      <c r="A234" s="289"/>
      <c r="B234" s="284" t="s">
        <v>48</v>
      </c>
      <c r="C234" s="284"/>
      <c r="D234" s="24" t="s">
        <v>143</v>
      </c>
      <c r="E234" s="41">
        <v>929.74625000000003</v>
      </c>
      <c r="F234" s="41">
        <v>930.39750000000004</v>
      </c>
      <c r="G234" s="41">
        <v>931.04875000000004</v>
      </c>
      <c r="H234" s="41">
        <v>931.7</v>
      </c>
      <c r="I234" s="41"/>
      <c r="J234" s="47">
        <v>931.7</v>
      </c>
      <c r="K234" s="47">
        <v>932.35125000000005</v>
      </c>
      <c r="L234" s="47">
        <v>933.00250000000005</v>
      </c>
      <c r="M234" s="47">
        <v>933.65374999999995</v>
      </c>
      <c r="N234" s="47">
        <v>934.30499999999995</v>
      </c>
      <c r="O234" s="41"/>
      <c r="P234" s="41">
        <v>934.30499999999995</v>
      </c>
      <c r="Q234" s="47">
        <v>934.85625000000005</v>
      </c>
      <c r="R234" s="47">
        <v>935.40750000000003</v>
      </c>
      <c r="S234" s="47">
        <v>935.95875000000001</v>
      </c>
      <c r="T234" s="47">
        <v>936.51</v>
      </c>
      <c r="U234" s="41"/>
      <c r="V234" s="41">
        <v>936.51</v>
      </c>
      <c r="W234" s="47">
        <v>938.41375000000005</v>
      </c>
      <c r="X234" s="47">
        <v>940.3175</v>
      </c>
      <c r="Y234" s="47">
        <v>942.22125000000005</v>
      </c>
      <c r="Z234" s="47">
        <v>944.125</v>
      </c>
      <c r="AA234" s="41"/>
      <c r="AB234" s="41">
        <v>944.125</v>
      </c>
      <c r="AC234" s="47">
        <v>944.45624999999995</v>
      </c>
      <c r="AD234" s="47">
        <v>944.78750000000002</v>
      </c>
      <c r="AE234" s="47">
        <v>945.11874999999998</v>
      </c>
      <c r="AF234" s="47">
        <v>945.45</v>
      </c>
      <c r="AG234" s="41"/>
      <c r="AH234" s="41">
        <v>945.45</v>
      </c>
    </row>
    <row r="235" spans="1:34" x14ac:dyDescent="0.2">
      <c r="A235" s="289"/>
      <c r="B235" s="284"/>
      <c r="C235" s="284"/>
      <c r="D235" s="24" t="s">
        <v>143</v>
      </c>
      <c r="E235" s="47">
        <f>3065-40</f>
        <v>3025</v>
      </c>
      <c r="F235" s="47">
        <f>3065-40</f>
        <v>3025</v>
      </c>
      <c r="G235" s="47">
        <f>3065-40</f>
        <v>3025</v>
      </c>
      <c r="H235" s="47">
        <f>3065-40</f>
        <v>3025</v>
      </c>
      <c r="I235" s="41"/>
      <c r="J235" s="47">
        <f>3065-40</f>
        <v>3025</v>
      </c>
      <c r="K235" s="41">
        <f>E235-40</f>
        <v>2985</v>
      </c>
      <c r="L235" s="41">
        <f>F235-40</f>
        <v>2985</v>
      </c>
      <c r="M235" s="41">
        <f>G235-40</f>
        <v>2985</v>
      </c>
      <c r="N235" s="41">
        <f>H235-40</f>
        <v>2985</v>
      </c>
      <c r="O235" s="41"/>
      <c r="P235" s="41">
        <f>J235-40</f>
        <v>2985</v>
      </c>
      <c r="Q235" s="41">
        <f>K235-40</f>
        <v>2945</v>
      </c>
      <c r="R235" s="41">
        <f>L235-40</f>
        <v>2945</v>
      </c>
      <c r="S235" s="41">
        <f>M235-40</f>
        <v>2945</v>
      </c>
      <c r="T235" s="41">
        <f>N235-40</f>
        <v>2945</v>
      </c>
      <c r="U235" s="41"/>
      <c r="V235" s="41">
        <f>P235-40</f>
        <v>2945</v>
      </c>
      <c r="W235" s="41">
        <f>Q235-40</f>
        <v>2905</v>
      </c>
      <c r="X235" s="41">
        <f>R235-40</f>
        <v>2905</v>
      </c>
      <c r="Y235" s="41">
        <f>S235-40</f>
        <v>2905</v>
      </c>
      <c r="Z235" s="41">
        <f>T235-40</f>
        <v>2905</v>
      </c>
      <c r="AA235" s="41"/>
      <c r="AB235" s="41">
        <f>V235-40</f>
        <v>2905</v>
      </c>
      <c r="AC235" s="41">
        <f>W235-40</f>
        <v>2865</v>
      </c>
      <c r="AD235" s="41">
        <f>X235-40</f>
        <v>2865</v>
      </c>
      <c r="AE235" s="41">
        <f>Y235-40</f>
        <v>2865</v>
      </c>
      <c r="AF235" s="41">
        <f>Z235-40</f>
        <v>2865</v>
      </c>
      <c r="AG235" s="41"/>
      <c r="AH235" s="41">
        <f>AB235-40</f>
        <v>2865</v>
      </c>
    </row>
    <row r="236" spans="1:34" x14ac:dyDescent="0.2">
      <c r="A236" s="17">
        <v>3.2</v>
      </c>
      <c r="B236" s="300" t="s">
        <v>37</v>
      </c>
      <c r="C236" s="446"/>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2"/>
    </row>
    <row r="237" spans="1:34" x14ac:dyDescent="0.2">
      <c r="A237" s="283"/>
      <c r="B237" s="284" t="s">
        <v>102</v>
      </c>
      <c r="C237" s="207"/>
      <c r="D237" s="273" t="s">
        <v>78</v>
      </c>
      <c r="E237" s="252">
        <v>0</v>
      </c>
      <c r="F237" s="252">
        <v>0</v>
      </c>
      <c r="G237" s="252">
        <v>0</v>
      </c>
      <c r="H237" s="252">
        <v>0</v>
      </c>
      <c r="I237" s="45"/>
      <c r="J237" s="252">
        <v>0</v>
      </c>
      <c r="K237" s="252">
        <v>0</v>
      </c>
      <c r="L237" s="252">
        <v>0</v>
      </c>
      <c r="M237" s="252">
        <v>0</v>
      </c>
      <c r="N237" s="252">
        <v>0</v>
      </c>
      <c r="O237" s="45"/>
      <c r="P237" s="252">
        <v>0</v>
      </c>
      <c r="Q237" s="252">
        <v>0</v>
      </c>
      <c r="R237" s="252">
        <v>0</v>
      </c>
      <c r="S237" s="252">
        <v>0</v>
      </c>
      <c r="T237" s="252">
        <v>0</v>
      </c>
      <c r="U237" s="45"/>
      <c r="V237" s="252">
        <v>0</v>
      </c>
      <c r="W237" s="252">
        <v>0</v>
      </c>
      <c r="X237" s="252">
        <v>0</v>
      </c>
      <c r="Y237" s="252">
        <v>0</v>
      </c>
      <c r="Z237" s="252">
        <v>0</v>
      </c>
      <c r="AA237" s="45"/>
      <c r="AB237" s="252">
        <v>0</v>
      </c>
      <c r="AC237" s="252">
        <v>0</v>
      </c>
      <c r="AD237" s="252">
        <v>0</v>
      </c>
      <c r="AE237" s="252">
        <v>0</v>
      </c>
      <c r="AF237" s="252">
        <v>0</v>
      </c>
      <c r="AG237" s="45"/>
      <c r="AH237" s="252">
        <v>0</v>
      </c>
    </row>
    <row r="238" spans="1:34" x14ac:dyDescent="0.2">
      <c r="A238" s="265"/>
      <c r="B238" s="285"/>
      <c r="C238" s="49" t="s">
        <v>26</v>
      </c>
      <c r="D238" s="273"/>
      <c r="E238" s="252"/>
      <c r="F238" s="252"/>
      <c r="G238" s="252"/>
      <c r="H238" s="252"/>
      <c r="I238" s="45"/>
      <c r="J238" s="252"/>
      <c r="K238" s="252"/>
      <c r="L238" s="252"/>
      <c r="M238" s="252"/>
      <c r="N238" s="252"/>
      <c r="O238" s="45"/>
      <c r="P238" s="252"/>
      <c r="Q238" s="252"/>
      <c r="R238" s="252"/>
      <c r="S238" s="252"/>
      <c r="T238" s="252"/>
      <c r="U238" s="45"/>
      <c r="V238" s="252"/>
      <c r="W238" s="252"/>
      <c r="X238" s="252"/>
      <c r="Y238" s="252"/>
      <c r="Z238" s="252"/>
      <c r="AA238" s="45"/>
      <c r="AB238" s="252"/>
      <c r="AC238" s="252"/>
      <c r="AD238" s="252"/>
      <c r="AE238" s="252"/>
      <c r="AF238" s="252"/>
      <c r="AG238" s="45"/>
      <c r="AH238" s="252"/>
    </row>
    <row r="239" spans="1:34" x14ac:dyDescent="0.2">
      <c r="A239" s="265"/>
      <c r="B239" s="285"/>
      <c r="C239" s="511" t="s">
        <v>7</v>
      </c>
      <c r="D239" s="273" t="s">
        <v>78</v>
      </c>
      <c r="E239" s="252">
        <v>0</v>
      </c>
      <c r="F239" s="252">
        <v>0</v>
      </c>
      <c r="G239" s="252">
        <v>0</v>
      </c>
      <c r="H239" s="252">
        <v>0</v>
      </c>
      <c r="I239" s="45"/>
      <c r="J239" s="252">
        <v>0</v>
      </c>
      <c r="K239" s="252">
        <v>0</v>
      </c>
      <c r="L239" s="252">
        <v>0</v>
      </c>
      <c r="M239" s="252">
        <v>0</v>
      </c>
      <c r="N239" s="252">
        <v>0</v>
      </c>
      <c r="O239" s="45"/>
      <c r="P239" s="252">
        <v>0</v>
      </c>
      <c r="Q239" s="252">
        <v>0</v>
      </c>
      <c r="R239" s="252">
        <v>0</v>
      </c>
      <c r="S239" s="252">
        <v>0</v>
      </c>
      <c r="T239" s="252">
        <v>0</v>
      </c>
      <c r="U239" s="45"/>
      <c r="V239" s="252">
        <v>0</v>
      </c>
      <c r="W239" s="252">
        <v>0</v>
      </c>
      <c r="X239" s="252">
        <v>0</v>
      </c>
      <c r="Y239" s="252">
        <v>0</v>
      </c>
      <c r="Z239" s="252">
        <v>0</v>
      </c>
      <c r="AA239" s="45"/>
      <c r="AB239" s="252">
        <v>0</v>
      </c>
      <c r="AC239" s="252">
        <v>0</v>
      </c>
      <c r="AD239" s="252">
        <v>0</v>
      </c>
      <c r="AE239" s="252">
        <v>0</v>
      </c>
      <c r="AF239" s="252">
        <v>0</v>
      </c>
      <c r="AG239" s="45"/>
      <c r="AH239" s="252">
        <v>0</v>
      </c>
    </row>
    <row r="240" spans="1:34" x14ac:dyDescent="0.2">
      <c r="A240" s="265"/>
      <c r="B240" s="285"/>
      <c r="C240" s="265"/>
      <c r="D240" s="273"/>
      <c r="E240" s="252"/>
      <c r="F240" s="252"/>
      <c r="G240" s="252"/>
      <c r="H240" s="252"/>
      <c r="I240" s="45"/>
      <c r="J240" s="252"/>
      <c r="K240" s="252"/>
      <c r="L240" s="252"/>
      <c r="M240" s="252"/>
      <c r="N240" s="252"/>
      <c r="O240" s="45"/>
      <c r="P240" s="252"/>
      <c r="Q240" s="252"/>
      <c r="R240" s="252"/>
      <c r="S240" s="252"/>
      <c r="T240" s="252"/>
      <c r="U240" s="45"/>
      <c r="V240" s="252"/>
      <c r="W240" s="252"/>
      <c r="X240" s="252"/>
      <c r="Y240" s="252"/>
      <c r="Z240" s="252"/>
      <c r="AA240" s="45"/>
      <c r="AB240" s="252"/>
      <c r="AC240" s="252"/>
      <c r="AD240" s="252"/>
      <c r="AE240" s="252"/>
      <c r="AF240" s="252"/>
      <c r="AG240" s="45"/>
      <c r="AH240" s="252"/>
    </row>
    <row r="241" spans="1:34" x14ac:dyDescent="0.2">
      <c r="A241" s="265"/>
      <c r="B241" s="285"/>
      <c r="C241" s="511" t="s">
        <v>8</v>
      </c>
      <c r="D241" s="273" t="s">
        <v>78</v>
      </c>
      <c r="E241" s="252">
        <v>0</v>
      </c>
      <c r="F241" s="252">
        <v>0</v>
      </c>
      <c r="G241" s="252">
        <v>0</v>
      </c>
      <c r="H241" s="252">
        <v>0</v>
      </c>
      <c r="I241" s="45"/>
      <c r="J241" s="252">
        <v>0</v>
      </c>
      <c r="K241" s="252">
        <v>0</v>
      </c>
      <c r="L241" s="252">
        <v>0</v>
      </c>
      <c r="M241" s="252">
        <v>0</v>
      </c>
      <c r="N241" s="252">
        <v>0</v>
      </c>
      <c r="O241" s="45"/>
      <c r="P241" s="252">
        <v>0</v>
      </c>
      <c r="Q241" s="252">
        <v>0</v>
      </c>
      <c r="R241" s="252">
        <v>0</v>
      </c>
      <c r="S241" s="252">
        <v>0</v>
      </c>
      <c r="T241" s="252">
        <v>0</v>
      </c>
      <c r="U241" s="45"/>
      <c r="V241" s="252">
        <v>0</v>
      </c>
      <c r="W241" s="252">
        <v>0</v>
      </c>
      <c r="X241" s="252">
        <v>0</v>
      </c>
      <c r="Y241" s="252">
        <v>0</v>
      </c>
      <c r="Z241" s="252">
        <v>0</v>
      </c>
      <c r="AA241" s="45"/>
      <c r="AB241" s="252">
        <v>0</v>
      </c>
      <c r="AC241" s="252">
        <v>0</v>
      </c>
      <c r="AD241" s="252">
        <v>0</v>
      </c>
      <c r="AE241" s="252">
        <v>0</v>
      </c>
      <c r="AF241" s="252">
        <v>0</v>
      </c>
      <c r="AG241" s="45"/>
      <c r="AH241" s="252">
        <v>0</v>
      </c>
    </row>
    <row r="242" spans="1:34" x14ac:dyDescent="0.2">
      <c r="A242" s="265"/>
      <c r="B242" s="285"/>
      <c r="C242" s="265"/>
      <c r="D242" s="273"/>
      <c r="E242" s="252"/>
      <c r="F242" s="252"/>
      <c r="G242" s="252"/>
      <c r="H242" s="252"/>
      <c r="I242" s="45"/>
      <c r="J242" s="252"/>
      <c r="K242" s="252"/>
      <c r="L242" s="252"/>
      <c r="M242" s="252"/>
      <c r="N242" s="252"/>
      <c r="O242" s="45"/>
      <c r="P242" s="252"/>
      <c r="Q242" s="252"/>
      <c r="R242" s="252"/>
      <c r="S242" s="252"/>
      <c r="T242" s="252"/>
      <c r="U242" s="45"/>
      <c r="V242" s="252"/>
      <c r="W242" s="252"/>
      <c r="X242" s="252"/>
      <c r="Y242" s="252"/>
      <c r="Z242" s="252"/>
      <c r="AA242" s="45"/>
      <c r="AB242" s="252"/>
      <c r="AC242" s="252"/>
      <c r="AD242" s="252"/>
      <c r="AE242" s="252"/>
      <c r="AF242" s="252"/>
      <c r="AG242" s="45"/>
      <c r="AH242" s="252"/>
    </row>
    <row r="243" spans="1:34" x14ac:dyDescent="0.2">
      <c r="A243" s="265"/>
      <c r="B243" s="288" t="s">
        <v>103</v>
      </c>
      <c r="C243" s="511" t="s">
        <v>26</v>
      </c>
      <c r="D243" s="273" t="s">
        <v>78</v>
      </c>
      <c r="E243" s="252">
        <v>0</v>
      </c>
      <c r="F243" s="252">
        <v>0</v>
      </c>
      <c r="G243" s="252">
        <v>0</v>
      </c>
      <c r="H243" s="252">
        <v>0</v>
      </c>
      <c r="I243" s="45"/>
      <c r="J243" s="252">
        <v>0</v>
      </c>
      <c r="K243" s="252">
        <v>0</v>
      </c>
      <c r="L243" s="252">
        <v>0</v>
      </c>
      <c r="M243" s="252">
        <v>0</v>
      </c>
      <c r="N243" s="252">
        <v>0</v>
      </c>
      <c r="O243" s="45"/>
      <c r="P243" s="252">
        <v>0</v>
      </c>
      <c r="Q243" s="252">
        <v>0</v>
      </c>
      <c r="R243" s="252">
        <v>0</v>
      </c>
      <c r="S243" s="252">
        <v>0</v>
      </c>
      <c r="T243" s="252">
        <v>0</v>
      </c>
      <c r="U243" s="45"/>
      <c r="V243" s="252">
        <v>0</v>
      </c>
      <c r="W243" s="252">
        <v>0</v>
      </c>
      <c r="X243" s="252">
        <v>0</v>
      </c>
      <c r="Y243" s="252">
        <v>0</v>
      </c>
      <c r="Z243" s="252">
        <v>0</v>
      </c>
      <c r="AA243" s="45"/>
      <c r="AB243" s="252">
        <v>0</v>
      </c>
      <c r="AC243" s="252">
        <v>0</v>
      </c>
      <c r="AD243" s="252">
        <v>0</v>
      </c>
      <c r="AE243" s="252">
        <v>0</v>
      </c>
      <c r="AF243" s="252">
        <v>0</v>
      </c>
      <c r="AG243" s="45"/>
      <c r="AH243" s="252">
        <v>0</v>
      </c>
    </row>
    <row r="244" spans="1:34" x14ac:dyDescent="0.2">
      <c r="A244" s="265"/>
      <c r="B244" s="288"/>
      <c r="C244" s="265"/>
      <c r="D244" s="273"/>
      <c r="E244" s="252"/>
      <c r="F244" s="252"/>
      <c r="G244" s="252"/>
      <c r="H244" s="252"/>
      <c r="I244" s="45"/>
      <c r="J244" s="252"/>
      <c r="K244" s="252"/>
      <c r="L244" s="252"/>
      <c r="M244" s="252"/>
      <c r="N244" s="252"/>
      <c r="O244" s="45"/>
      <c r="P244" s="252"/>
      <c r="Q244" s="252"/>
      <c r="R244" s="252"/>
      <c r="S244" s="252"/>
      <c r="T244" s="252"/>
      <c r="U244" s="45"/>
      <c r="V244" s="252"/>
      <c r="W244" s="252"/>
      <c r="X244" s="252"/>
      <c r="Y244" s="252"/>
      <c r="Z244" s="252"/>
      <c r="AA244" s="45"/>
      <c r="AB244" s="252"/>
      <c r="AC244" s="252"/>
      <c r="AD244" s="252"/>
      <c r="AE244" s="252"/>
      <c r="AF244" s="252"/>
      <c r="AG244" s="45"/>
      <c r="AH244" s="252"/>
    </row>
    <row r="245" spans="1:34" x14ac:dyDescent="0.2">
      <c r="A245" s="265"/>
      <c r="B245" s="288"/>
      <c r="C245" s="511" t="s">
        <v>7</v>
      </c>
      <c r="D245" s="273" t="s">
        <v>78</v>
      </c>
      <c r="E245" s="252">
        <v>0</v>
      </c>
      <c r="F245" s="252">
        <v>0</v>
      </c>
      <c r="G245" s="252">
        <v>0</v>
      </c>
      <c r="H245" s="252">
        <v>0</v>
      </c>
      <c r="I245" s="45"/>
      <c r="J245" s="252">
        <v>0</v>
      </c>
      <c r="K245" s="252">
        <v>0</v>
      </c>
      <c r="L245" s="252">
        <v>0</v>
      </c>
      <c r="M245" s="252">
        <v>0</v>
      </c>
      <c r="N245" s="252">
        <v>0</v>
      </c>
      <c r="O245" s="45"/>
      <c r="P245" s="252">
        <v>0</v>
      </c>
      <c r="Q245" s="252">
        <v>0</v>
      </c>
      <c r="R245" s="252">
        <v>0</v>
      </c>
      <c r="S245" s="252">
        <v>0</v>
      </c>
      <c r="T245" s="252">
        <v>0</v>
      </c>
      <c r="U245" s="45"/>
      <c r="V245" s="252">
        <v>0</v>
      </c>
      <c r="W245" s="252">
        <v>0</v>
      </c>
      <c r="X245" s="252">
        <v>0</v>
      </c>
      <c r="Y245" s="252">
        <v>0</v>
      </c>
      <c r="Z245" s="252">
        <v>0</v>
      </c>
      <c r="AA245" s="45"/>
      <c r="AB245" s="252">
        <v>0</v>
      </c>
      <c r="AC245" s="252">
        <v>0</v>
      </c>
      <c r="AD245" s="252">
        <v>0</v>
      </c>
      <c r="AE245" s="252">
        <v>0</v>
      </c>
      <c r="AF245" s="252">
        <v>0</v>
      </c>
      <c r="AG245" s="45"/>
      <c r="AH245" s="252">
        <v>0</v>
      </c>
    </row>
    <row r="246" spans="1:34" x14ac:dyDescent="0.2">
      <c r="A246" s="265"/>
      <c r="B246" s="288"/>
      <c r="C246" s="265"/>
      <c r="D246" s="273"/>
      <c r="E246" s="252"/>
      <c r="F246" s="252"/>
      <c r="G246" s="252"/>
      <c r="H246" s="252"/>
      <c r="I246" s="45"/>
      <c r="J246" s="252"/>
      <c r="K246" s="252"/>
      <c r="L246" s="252"/>
      <c r="M246" s="252"/>
      <c r="N246" s="252"/>
      <c r="O246" s="45"/>
      <c r="P246" s="252"/>
      <c r="Q246" s="252"/>
      <c r="R246" s="252"/>
      <c r="S246" s="252"/>
      <c r="T246" s="252"/>
      <c r="U246" s="45"/>
      <c r="V246" s="252"/>
      <c r="W246" s="252"/>
      <c r="X246" s="252"/>
      <c r="Y246" s="252"/>
      <c r="Z246" s="252"/>
      <c r="AA246" s="45"/>
      <c r="AB246" s="252"/>
      <c r="AC246" s="252"/>
      <c r="AD246" s="252"/>
      <c r="AE246" s="252"/>
      <c r="AF246" s="252"/>
      <c r="AG246" s="45"/>
      <c r="AH246" s="252"/>
    </row>
    <row r="247" spans="1:34" x14ac:dyDescent="0.2">
      <c r="A247" s="265"/>
      <c r="B247" s="288"/>
      <c r="C247" s="265" t="s">
        <v>8</v>
      </c>
      <c r="D247" s="273" t="s">
        <v>78</v>
      </c>
      <c r="E247" s="252">
        <v>0</v>
      </c>
      <c r="F247" s="252">
        <v>0</v>
      </c>
      <c r="G247" s="252">
        <v>0</v>
      </c>
      <c r="H247" s="252">
        <v>0</v>
      </c>
      <c r="I247" s="45"/>
      <c r="J247" s="252">
        <v>0</v>
      </c>
      <c r="K247" s="252">
        <v>0</v>
      </c>
      <c r="L247" s="252">
        <v>0</v>
      </c>
      <c r="M247" s="252">
        <v>0</v>
      </c>
      <c r="N247" s="252">
        <v>0</v>
      </c>
      <c r="O247" s="45"/>
      <c r="P247" s="252">
        <v>0</v>
      </c>
      <c r="Q247" s="252">
        <v>0</v>
      </c>
      <c r="R247" s="252">
        <v>0</v>
      </c>
      <c r="S247" s="252">
        <v>0</v>
      </c>
      <c r="T247" s="252">
        <v>0</v>
      </c>
      <c r="U247" s="45"/>
      <c r="V247" s="252">
        <v>0</v>
      </c>
      <c r="W247" s="252">
        <v>0</v>
      </c>
      <c r="X247" s="252">
        <v>0</v>
      </c>
      <c r="Y247" s="252">
        <v>0</v>
      </c>
      <c r="Z247" s="252">
        <v>0</v>
      </c>
      <c r="AA247" s="45"/>
      <c r="AB247" s="252">
        <v>0</v>
      </c>
      <c r="AC247" s="252">
        <v>0</v>
      </c>
      <c r="AD247" s="252">
        <v>0</v>
      </c>
      <c r="AE247" s="252">
        <v>0</v>
      </c>
      <c r="AF247" s="252">
        <v>0</v>
      </c>
      <c r="AG247" s="45"/>
      <c r="AH247" s="252">
        <v>0</v>
      </c>
    </row>
    <row r="248" spans="1:34" x14ac:dyDescent="0.2">
      <c r="A248" s="265"/>
      <c r="B248" s="288"/>
      <c r="C248" s="265"/>
      <c r="D248" s="273"/>
      <c r="E248" s="252"/>
      <c r="F248" s="252"/>
      <c r="G248" s="252"/>
      <c r="H248" s="252"/>
      <c r="I248" s="45"/>
      <c r="J248" s="252"/>
      <c r="K248" s="252"/>
      <c r="L248" s="252"/>
      <c r="M248" s="252"/>
      <c r="N248" s="252"/>
      <c r="O248" s="45"/>
      <c r="P248" s="252"/>
      <c r="Q248" s="252"/>
      <c r="R248" s="252"/>
      <c r="S248" s="252"/>
      <c r="T248" s="252"/>
      <c r="U248" s="45"/>
      <c r="V248" s="252"/>
      <c r="W248" s="252"/>
      <c r="X248" s="252"/>
      <c r="Y248" s="252"/>
      <c r="Z248" s="252"/>
      <c r="AA248" s="45"/>
      <c r="AB248" s="252"/>
      <c r="AC248" s="252"/>
      <c r="AD248" s="252"/>
      <c r="AE248" s="252"/>
      <c r="AF248" s="252"/>
      <c r="AG248" s="45"/>
      <c r="AH248" s="252"/>
    </row>
    <row r="249" spans="1:34" x14ac:dyDescent="0.2">
      <c r="A249" s="265"/>
      <c r="B249" s="284" t="s">
        <v>49</v>
      </c>
      <c r="C249" s="450" t="s">
        <v>26</v>
      </c>
      <c r="D249" s="273" t="s">
        <v>78</v>
      </c>
      <c r="E249" s="252">
        <v>0</v>
      </c>
      <c r="F249" s="252">
        <v>0</v>
      </c>
      <c r="G249" s="252">
        <v>0</v>
      </c>
      <c r="H249" s="252">
        <v>0</v>
      </c>
      <c r="I249" s="45"/>
      <c r="J249" s="252">
        <v>0</v>
      </c>
      <c r="K249" s="252">
        <v>0</v>
      </c>
      <c r="L249" s="252">
        <v>0</v>
      </c>
      <c r="M249" s="252">
        <v>0</v>
      </c>
      <c r="N249" s="252">
        <v>0</v>
      </c>
      <c r="O249" s="45"/>
      <c r="P249" s="252">
        <v>0</v>
      </c>
      <c r="Q249" s="252">
        <v>0</v>
      </c>
      <c r="R249" s="252">
        <v>0</v>
      </c>
      <c r="S249" s="252">
        <v>0</v>
      </c>
      <c r="T249" s="252">
        <v>0</v>
      </c>
      <c r="U249" s="45"/>
      <c r="V249" s="252">
        <v>0</v>
      </c>
      <c r="W249" s="252">
        <v>0</v>
      </c>
      <c r="X249" s="252">
        <v>0</v>
      </c>
      <c r="Y249" s="252">
        <v>0</v>
      </c>
      <c r="Z249" s="252">
        <v>0</v>
      </c>
      <c r="AA249" s="45"/>
      <c r="AB249" s="252">
        <v>0</v>
      </c>
      <c r="AC249" s="252">
        <v>0</v>
      </c>
      <c r="AD249" s="252">
        <v>0</v>
      </c>
      <c r="AE249" s="252">
        <v>0</v>
      </c>
      <c r="AF249" s="252">
        <v>0</v>
      </c>
      <c r="AG249" s="45"/>
      <c r="AH249" s="252">
        <v>0</v>
      </c>
    </row>
    <row r="250" spans="1:34" x14ac:dyDescent="0.2">
      <c r="A250" s="265"/>
      <c r="B250" s="284"/>
      <c r="C250" s="450"/>
      <c r="D250" s="273"/>
      <c r="E250" s="252"/>
      <c r="F250" s="252"/>
      <c r="G250" s="252"/>
      <c r="H250" s="252"/>
      <c r="I250" s="45"/>
      <c r="J250" s="252"/>
      <c r="K250" s="252"/>
      <c r="L250" s="252"/>
      <c r="M250" s="252"/>
      <c r="N250" s="252"/>
      <c r="O250" s="45"/>
      <c r="P250" s="252"/>
      <c r="Q250" s="252"/>
      <c r="R250" s="252"/>
      <c r="S250" s="252"/>
      <c r="T250" s="252"/>
      <c r="U250" s="45"/>
      <c r="V250" s="252"/>
      <c r="W250" s="252"/>
      <c r="X250" s="252"/>
      <c r="Y250" s="252"/>
      <c r="Z250" s="252"/>
      <c r="AA250" s="45"/>
      <c r="AB250" s="252"/>
      <c r="AC250" s="252"/>
      <c r="AD250" s="252"/>
      <c r="AE250" s="252"/>
      <c r="AF250" s="252"/>
      <c r="AG250" s="45"/>
      <c r="AH250" s="252"/>
    </row>
    <row r="251" spans="1:34" x14ac:dyDescent="0.2">
      <c r="A251" s="265"/>
      <c r="B251" s="284"/>
      <c r="C251" s="450" t="s">
        <v>7</v>
      </c>
      <c r="D251" s="273" t="s">
        <v>78</v>
      </c>
      <c r="E251" s="252">
        <v>0</v>
      </c>
      <c r="F251" s="252">
        <v>0</v>
      </c>
      <c r="G251" s="252">
        <v>0</v>
      </c>
      <c r="H251" s="252">
        <v>0</v>
      </c>
      <c r="I251" s="45"/>
      <c r="J251" s="252">
        <v>0</v>
      </c>
      <c r="K251" s="252">
        <v>0</v>
      </c>
      <c r="L251" s="252">
        <v>0</v>
      </c>
      <c r="M251" s="252">
        <v>0</v>
      </c>
      <c r="N251" s="252">
        <v>0</v>
      </c>
      <c r="O251" s="45"/>
      <c r="P251" s="252">
        <v>0</v>
      </c>
      <c r="Q251" s="252">
        <v>0</v>
      </c>
      <c r="R251" s="252">
        <v>0</v>
      </c>
      <c r="S251" s="252">
        <v>0</v>
      </c>
      <c r="T251" s="252">
        <v>0</v>
      </c>
      <c r="U251" s="45"/>
      <c r="V251" s="252">
        <v>0</v>
      </c>
      <c r="W251" s="252">
        <v>0</v>
      </c>
      <c r="X251" s="252">
        <v>0</v>
      </c>
      <c r="Y251" s="252">
        <v>0</v>
      </c>
      <c r="Z251" s="252">
        <v>0</v>
      </c>
      <c r="AA251" s="45"/>
      <c r="AB251" s="252">
        <v>0</v>
      </c>
      <c r="AC251" s="252">
        <v>0</v>
      </c>
      <c r="AD251" s="252">
        <v>0</v>
      </c>
      <c r="AE251" s="252">
        <v>0</v>
      </c>
      <c r="AF251" s="252">
        <v>0</v>
      </c>
      <c r="AG251" s="45"/>
      <c r="AH251" s="252">
        <v>0</v>
      </c>
    </row>
    <row r="252" spans="1:34" x14ac:dyDescent="0.2">
      <c r="A252" s="265"/>
      <c r="B252" s="284"/>
      <c r="C252" s="450"/>
      <c r="D252" s="273"/>
      <c r="E252" s="252"/>
      <c r="F252" s="252"/>
      <c r="G252" s="252"/>
      <c r="H252" s="252"/>
      <c r="I252" s="45"/>
      <c r="J252" s="252"/>
      <c r="K252" s="252"/>
      <c r="L252" s="252"/>
      <c r="M252" s="252"/>
      <c r="N252" s="252"/>
      <c r="O252" s="45"/>
      <c r="P252" s="252"/>
      <c r="Q252" s="252"/>
      <c r="R252" s="252"/>
      <c r="S252" s="252"/>
      <c r="T252" s="252"/>
      <c r="U252" s="45"/>
      <c r="V252" s="252"/>
      <c r="W252" s="252"/>
      <c r="X252" s="252"/>
      <c r="Y252" s="252"/>
      <c r="Z252" s="252"/>
      <c r="AA252" s="45"/>
      <c r="AB252" s="252"/>
      <c r="AC252" s="252"/>
      <c r="AD252" s="252"/>
      <c r="AE252" s="252"/>
      <c r="AF252" s="252"/>
      <c r="AG252" s="45"/>
      <c r="AH252" s="252"/>
    </row>
    <row r="253" spans="1:34" x14ac:dyDescent="0.2">
      <c r="A253" s="265"/>
      <c r="B253" s="284"/>
      <c r="C253" s="450" t="s">
        <v>8</v>
      </c>
      <c r="D253" s="273" t="s">
        <v>78</v>
      </c>
      <c r="E253" s="252">
        <v>0</v>
      </c>
      <c r="F253" s="252">
        <v>0</v>
      </c>
      <c r="G253" s="252">
        <v>0</v>
      </c>
      <c r="H253" s="252">
        <v>0</v>
      </c>
      <c r="I253" s="45"/>
      <c r="J253" s="252">
        <v>0</v>
      </c>
      <c r="K253" s="252">
        <v>0</v>
      </c>
      <c r="L253" s="252">
        <v>0</v>
      </c>
      <c r="M253" s="252">
        <v>0</v>
      </c>
      <c r="N253" s="252">
        <v>0</v>
      </c>
      <c r="O253" s="45"/>
      <c r="P253" s="252">
        <v>0</v>
      </c>
      <c r="Q253" s="252">
        <v>0</v>
      </c>
      <c r="R253" s="252">
        <v>0</v>
      </c>
      <c r="S253" s="252">
        <v>0</v>
      </c>
      <c r="T253" s="252">
        <v>0</v>
      </c>
      <c r="U253" s="45"/>
      <c r="V253" s="252">
        <v>0</v>
      </c>
      <c r="W253" s="252">
        <v>0</v>
      </c>
      <c r="X253" s="252">
        <v>0</v>
      </c>
      <c r="Y253" s="252">
        <v>0</v>
      </c>
      <c r="Z253" s="252">
        <v>0</v>
      </c>
      <c r="AA253" s="45"/>
      <c r="AB253" s="252">
        <v>0</v>
      </c>
      <c r="AC253" s="252">
        <v>0</v>
      </c>
      <c r="AD253" s="252">
        <v>0</v>
      </c>
      <c r="AE253" s="252">
        <v>0</v>
      </c>
      <c r="AF253" s="252">
        <v>0</v>
      </c>
      <c r="AG253" s="45"/>
      <c r="AH253" s="252">
        <v>0</v>
      </c>
    </row>
    <row r="254" spans="1:34" x14ac:dyDescent="0.2">
      <c r="A254" s="265"/>
      <c r="B254" s="284"/>
      <c r="C254" s="450"/>
      <c r="D254" s="273"/>
      <c r="E254" s="252"/>
      <c r="F254" s="252"/>
      <c r="G254" s="252"/>
      <c r="H254" s="252"/>
      <c r="I254" s="45"/>
      <c r="J254" s="252"/>
      <c r="K254" s="252"/>
      <c r="L254" s="252"/>
      <c r="M254" s="252"/>
      <c r="N254" s="252"/>
      <c r="O254" s="45"/>
      <c r="P254" s="252"/>
      <c r="Q254" s="252"/>
      <c r="R254" s="252"/>
      <c r="S254" s="252"/>
      <c r="T254" s="252"/>
      <c r="U254" s="45"/>
      <c r="V254" s="252"/>
      <c r="W254" s="252"/>
      <c r="X254" s="252"/>
      <c r="Y254" s="252"/>
      <c r="Z254" s="252"/>
      <c r="AA254" s="45"/>
      <c r="AB254" s="252"/>
      <c r="AC254" s="252"/>
      <c r="AD254" s="252"/>
      <c r="AE254" s="252"/>
      <c r="AF254" s="252"/>
      <c r="AG254" s="45"/>
      <c r="AH254" s="252"/>
    </row>
    <row r="256" spans="1:34" x14ac:dyDescent="0.2">
      <c r="A256" s="9"/>
      <c r="B256" s="9"/>
      <c r="C256" s="9"/>
      <c r="D256" s="9"/>
    </row>
    <row r="258" spans="2:3" ht="15" customHeight="1" x14ac:dyDescent="0.2">
      <c r="C258" s="31"/>
    </row>
    <row r="259" spans="2:3" x14ac:dyDescent="0.2">
      <c r="C259" s="31"/>
    </row>
    <row r="260" spans="2:3" x14ac:dyDescent="0.2">
      <c r="B260" s="31"/>
      <c r="C260" s="31"/>
    </row>
  </sheetData>
  <mergeCells count="2951">
    <mergeCell ref="V251:V252"/>
    <mergeCell ref="AB251:AB252"/>
    <mergeCell ref="AH251:AH252"/>
    <mergeCell ref="M249:M250"/>
    <mergeCell ref="N249:N250"/>
    <mergeCell ref="Q249:Q250"/>
    <mergeCell ref="R249:R250"/>
    <mergeCell ref="V245:V246"/>
    <mergeCell ref="AB245:AB246"/>
    <mergeCell ref="AH245:AH246"/>
    <mergeCell ref="V247:V248"/>
    <mergeCell ref="AB247:AB248"/>
    <mergeCell ref="AH247:AH248"/>
    <mergeCell ref="V241:V242"/>
    <mergeCell ref="AB241:AB242"/>
    <mergeCell ref="AH241:AH242"/>
    <mergeCell ref="J243:J244"/>
    <mergeCell ref="P243:P244"/>
    <mergeCell ref="V243:V244"/>
    <mergeCell ref="AB243:AB244"/>
    <mergeCell ref="AH243:AH244"/>
    <mergeCell ref="V237:V238"/>
    <mergeCell ref="AB237:AB238"/>
    <mergeCell ref="AH237:AH238"/>
    <mergeCell ref="J239:J240"/>
    <mergeCell ref="P239:P240"/>
    <mergeCell ref="V239:V240"/>
    <mergeCell ref="AB239:AB240"/>
    <mergeCell ref="AH239:AH240"/>
    <mergeCell ref="Z237:Z238"/>
    <mergeCell ref="AC237:AC238"/>
    <mergeCell ref="AD237:AD238"/>
    <mergeCell ref="AE237:AE238"/>
    <mergeCell ref="AF237:AF238"/>
    <mergeCell ref="AD239:AD240"/>
    <mergeCell ref="AE239:AE240"/>
    <mergeCell ref="AF239:AF240"/>
    <mergeCell ref="Z241:Z242"/>
    <mergeCell ref="AC241:AC242"/>
    <mergeCell ref="AD241:AD242"/>
    <mergeCell ref="J217:J218"/>
    <mergeCell ref="P217:P218"/>
    <mergeCell ref="V217:V218"/>
    <mergeCell ref="AB217:AB218"/>
    <mergeCell ref="AH217:AH218"/>
    <mergeCell ref="AH213:AH214"/>
    <mergeCell ref="M213:M214"/>
    <mergeCell ref="N213:N214"/>
    <mergeCell ref="N215:N216"/>
    <mergeCell ref="M217:M218"/>
    <mergeCell ref="G222:H222"/>
    <mergeCell ref="M222:N222"/>
    <mergeCell ref="S222:T222"/>
    <mergeCell ref="Y222:Z222"/>
    <mergeCell ref="AE222:AF222"/>
    <mergeCell ref="J215:J216"/>
    <mergeCell ref="P215:P216"/>
    <mergeCell ref="V215:V216"/>
    <mergeCell ref="AB215:AB216"/>
    <mergeCell ref="M215:M216"/>
    <mergeCell ref="T215:T216"/>
    <mergeCell ref="Q217:Q218"/>
    <mergeCell ref="W217:W218"/>
    <mergeCell ref="X217:X218"/>
    <mergeCell ref="Y217:Y218"/>
    <mergeCell ref="Z217:Z218"/>
    <mergeCell ref="R217:R218"/>
    <mergeCell ref="S217:S218"/>
    <mergeCell ref="T217:T218"/>
    <mergeCell ref="AE215:AE216"/>
    <mergeCell ref="AF215:AF216"/>
    <mergeCell ref="Z213:Z214"/>
    <mergeCell ref="J210:J211"/>
    <mergeCell ref="P210:P211"/>
    <mergeCell ref="V210:V211"/>
    <mergeCell ref="AB210:AB211"/>
    <mergeCell ref="AH210:AH211"/>
    <mergeCell ref="AH215:AH216"/>
    <mergeCell ref="J213:J214"/>
    <mergeCell ref="P213:P214"/>
    <mergeCell ref="V213:V214"/>
    <mergeCell ref="AB213:AB214"/>
    <mergeCell ref="J206:J207"/>
    <mergeCell ref="P206:P207"/>
    <mergeCell ref="V206:V207"/>
    <mergeCell ref="AB206:AB207"/>
    <mergeCell ref="AH206:AH207"/>
    <mergeCell ref="J208:J209"/>
    <mergeCell ref="P208:P209"/>
    <mergeCell ref="V208:V209"/>
    <mergeCell ref="AB208:AB209"/>
    <mergeCell ref="AH208:AH209"/>
    <mergeCell ref="M206:M207"/>
    <mergeCell ref="N206:N207"/>
    <mergeCell ref="M208:M209"/>
    <mergeCell ref="N208:N209"/>
    <mergeCell ref="M210:M211"/>
    <mergeCell ref="N210:N211"/>
    <mergeCell ref="Q206:Q207"/>
    <mergeCell ref="R206:R207"/>
    <mergeCell ref="S206:S207"/>
    <mergeCell ref="T206:T207"/>
    <mergeCell ref="Q208:Q209"/>
    <mergeCell ref="R208:R209"/>
    <mergeCell ref="AH202:AH203"/>
    <mergeCell ref="D204:D205"/>
    <mergeCell ref="J204:J205"/>
    <mergeCell ref="P204:P205"/>
    <mergeCell ref="V204:V205"/>
    <mergeCell ref="AB204:AB205"/>
    <mergeCell ref="AH204:AH205"/>
    <mergeCell ref="E204:E205"/>
    <mergeCell ref="F204:F205"/>
    <mergeCell ref="G204:G205"/>
    <mergeCell ref="J200:J201"/>
    <mergeCell ref="P200:P201"/>
    <mergeCell ref="V200:V201"/>
    <mergeCell ref="AB200:AB201"/>
    <mergeCell ref="AH200:AH201"/>
    <mergeCell ref="D202:D203"/>
    <mergeCell ref="J202:J203"/>
    <mergeCell ref="P202:P203"/>
    <mergeCell ref="V202:V203"/>
    <mergeCell ref="AB202:AB203"/>
    <mergeCell ref="M200:M201"/>
    <mergeCell ref="N200:N201"/>
    <mergeCell ref="M202:M203"/>
    <mergeCell ref="N202:N203"/>
    <mergeCell ref="M204:M205"/>
    <mergeCell ref="N204:N205"/>
    <mergeCell ref="J196:J197"/>
    <mergeCell ref="P196:P197"/>
    <mergeCell ref="V196:V197"/>
    <mergeCell ref="AB196:AB197"/>
    <mergeCell ref="AH196:AH197"/>
    <mergeCell ref="J198:J199"/>
    <mergeCell ref="P198:P199"/>
    <mergeCell ref="V198:V199"/>
    <mergeCell ref="AB198:AB199"/>
    <mergeCell ref="AH198:AH199"/>
    <mergeCell ref="V190:V191"/>
    <mergeCell ref="AB190:AB191"/>
    <mergeCell ref="AH190:AH191"/>
    <mergeCell ref="J192:J193"/>
    <mergeCell ref="P192:P193"/>
    <mergeCell ref="V192:V193"/>
    <mergeCell ref="AB192:AB193"/>
    <mergeCell ref="AH192:AH193"/>
    <mergeCell ref="Z190:Z191"/>
    <mergeCell ref="AC190:AC191"/>
    <mergeCell ref="AD190:AD191"/>
    <mergeCell ref="AE190:AE191"/>
    <mergeCell ref="AF190:AF191"/>
    <mergeCell ref="AD192:AD193"/>
    <mergeCell ref="AE192:AE193"/>
    <mergeCell ref="AF192:AF193"/>
    <mergeCell ref="M196:M197"/>
    <mergeCell ref="N196:N197"/>
    <mergeCell ref="M198:M199"/>
    <mergeCell ref="N198:N199"/>
    <mergeCell ref="Q196:Q197"/>
    <mergeCell ref="R196:R197"/>
    <mergeCell ref="AB185:AB186"/>
    <mergeCell ref="AH185:AH186"/>
    <mergeCell ref="J187:J188"/>
    <mergeCell ref="P187:P188"/>
    <mergeCell ref="V187:V188"/>
    <mergeCell ref="AB187:AB188"/>
    <mergeCell ref="AH187:AH188"/>
    <mergeCell ref="J181:J182"/>
    <mergeCell ref="P181:P182"/>
    <mergeCell ref="V181:V182"/>
    <mergeCell ref="AB181:AB182"/>
    <mergeCell ref="AH181:AH182"/>
    <mergeCell ref="J183:J184"/>
    <mergeCell ref="P183:P184"/>
    <mergeCell ref="V183:V184"/>
    <mergeCell ref="AB183:AB184"/>
    <mergeCell ref="AH183:AH184"/>
    <mergeCell ref="AD181:AD182"/>
    <mergeCell ref="AE181:AE182"/>
    <mergeCell ref="AF181:AF182"/>
    <mergeCell ref="AD183:AD184"/>
    <mergeCell ref="AE183:AE184"/>
    <mergeCell ref="AF183:AF184"/>
    <mergeCell ref="Z185:Z186"/>
    <mergeCell ref="AC185:AC186"/>
    <mergeCell ref="AD185:AD186"/>
    <mergeCell ref="AE185:AE186"/>
    <mergeCell ref="AF185:AF186"/>
    <mergeCell ref="AD187:AD188"/>
    <mergeCell ref="AE187:AE188"/>
    <mergeCell ref="AF187:AF188"/>
    <mergeCell ref="AH177:AH178"/>
    <mergeCell ref="J179:J180"/>
    <mergeCell ref="P179:P180"/>
    <mergeCell ref="V179:V180"/>
    <mergeCell ref="AB179:AB180"/>
    <mergeCell ref="AH179:AH180"/>
    <mergeCell ref="J173:J174"/>
    <mergeCell ref="P173:P174"/>
    <mergeCell ref="V173:V174"/>
    <mergeCell ref="AB173:AB174"/>
    <mergeCell ref="AH173:AH174"/>
    <mergeCell ref="J175:J176"/>
    <mergeCell ref="P175:P176"/>
    <mergeCell ref="V175:V176"/>
    <mergeCell ref="AB175:AB176"/>
    <mergeCell ref="AH175:AH176"/>
    <mergeCell ref="AD173:AD174"/>
    <mergeCell ref="AE173:AE174"/>
    <mergeCell ref="AF173:AF174"/>
    <mergeCell ref="AD175:AD176"/>
    <mergeCell ref="AE175:AE176"/>
    <mergeCell ref="AF175:AF176"/>
    <mergeCell ref="AD177:AD178"/>
    <mergeCell ref="AE177:AE178"/>
    <mergeCell ref="AF177:AF178"/>
    <mergeCell ref="AH169:AH170"/>
    <mergeCell ref="J171:J172"/>
    <mergeCell ref="P171:P172"/>
    <mergeCell ref="V171:V172"/>
    <mergeCell ref="AB171:AB172"/>
    <mergeCell ref="AH171:AH172"/>
    <mergeCell ref="J165:J166"/>
    <mergeCell ref="P165:P166"/>
    <mergeCell ref="V165:V166"/>
    <mergeCell ref="AB165:AB166"/>
    <mergeCell ref="AH165:AH166"/>
    <mergeCell ref="J167:J168"/>
    <mergeCell ref="P167:P168"/>
    <mergeCell ref="V167:V168"/>
    <mergeCell ref="AB167:AB168"/>
    <mergeCell ref="AH167:AH168"/>
    <mergeCell ref="AD165:AD166"/>
    <mergeCell ref="AE165:AE166"/>
    <mergeCell ref="AF165:AF166"/>
    <mergeCell ref="AD167:AD168"/>
    <mergeCell ref="AE167:AE168"/>
    <mergeCell ref="AF167:AF168"/>
    <mergeCell ref="AD169:AD170"/>
    <mergeCell ref="AE169:AE170"/>
    <mergeCell ref="AF169:AF170"/>
    <mergeCell ref="AD171:AD172"/>
    <mergeCell ref="AE171:AE172"/>
    <mergeCell ref="AF171:AF172"/>
    <mergeCell ref="AH161:AH162"/>
    <mergeCell ref="J163:J164"/>
    <mergeCell ref="P163:P164"/>
    <mergeCell ref="V163:V164"/>
    <mergeCell ref="AB163:AB164"/>
    <mergeCell ref="AH163:AH164"/>
    <mergeCell ref="J157:J158"/>
    <mergeCell ref="P157:P158"/>
    <mergeCell ref="V157:V158"/>
    <mergeCell ref="AB157:AB158"/>
    <mergeCell ref="AH157:AH158"/>
    <mergeCell ref="J159:J160"/>
    <mergeCell ref="P159:P160"/>
    <mergeCell ref="V159:V160"/>
    <mergeCell ref="AB159:AB160"/>
    <mergeCell ref="AH159:AH160"/>
    <mergeCell ref="AD159:AD160"/>
    <mergeCell ref="AE159:AE160"/>
    <mergeCell ref="AF159:AF160"/>
    <mergeCell ref="AD161:AD162"/>
    <mergeCell ref="AE161:AE162"/>
    <mergeCell ref="AF161:AF162"/>
    <mergeCell ref="Y163:Y164"/>
    <mergeCell ref="Z163:Z164"/>
    <mergeCell ref="AC163:AC164"/>
    <mergeCell ref="AD163:AD164"/>
    <mergeCell ref="AE163:AE164"/>
    <mergeCell ref="AF163:AF164"/>
    <mergeCell ref="J153:J154"/>
    <mergeCell ref="P153:P154"/>
    <mergeCell ref="V153:V154"/>
    <mergeCell ref="AB153:AB154"/>
    <mergeCell ref="AH153:AH154"/>
    <mergeCell ref="J155:J156"/>
    <mergeCell ref="P155:P156"/>
    <mergeCell ref="V155:V156"/>
    <mergeCell ref="AB155:AB156"/>
    <mergeCell ref="AH155:AH156"/>
    <mergeCell ref="J148:J149"/>
    <mergeCell ref="P148:P149"/>
    <mergeCell ref="V148:V149"/>
    <mergeCell ref="AB148:AB149"/>
    <mergeCell ref="AH148:AH149"/>
    <mergeCell ref="J150:J151"/>
    <mergeCell ref="P150:P151"/>
    <mergeCell ref="V150:V151"/>
    <mergeCell ref="AB150:AB151"/>
    <mergeCell ref="AH150:AH151"/>
    <mergeCell ref="Y148:Y149"/>
    <mergeCell ref="Z148:Z149"/>
    <mergeCell ref="AA148:AA149"/>
    <mergeCell ref="AC148:AC149"/>
    <mergeCell ref="AD148:AD149"/>
    <mergeCell ref="AE148:AE149"/>
    <mergeCell ref="AF148:AF149"/>
    <mergeCell ref="AG148:AG149"/>
    <mergeCell ref="Y150:Y151"/>
    <mergeCell ref="Z150:Z151"/>
    <mergeCell ref="AA150:AA151"/>
    <mergeCell ref="AC150:AC151"/>
    <mergeCell ref="J141:J142"/>
    <mergeCell ref="P141:P142"/>
    <mergeCell ref="V141:V142"/>
    <mergeCell ref="AB141:AB142"/>
    <mergeCell ref="AH141:AH142"/>
    <mergeCell ref="J146:J147"/>
    <mergeCell ref="P146:P147"/>
    <mergeCell ref="V146:V147"/>
    <mergeCell ref="AB146:AB147"/>
    <mergeCell ref="AH146:AH147"/>
    <mergeCell ref="J137:J138"/>
    <mergeCell ref="P137:P138"/>
    <mergeCell ref="V137:V138"/>
    <mergeCell ref="AB137:AB138"/>
    <mergeCell ref="AH137:AH138"/>
    <mergeCell ref="J139:J140"/>
    <mergeCell ref="P139:P140"/>
    <mergeCell ref="V139:V140"/>
    <mergeCell ref="AB139:AB140"/>
    <mergeCell ref="AH139:AH140"/>
    <mergeCell ref="AG137:AG138"/>
    <mergeCell ref="Y139:Y140"/>
    <mergeCell ref="Z139:Z140"/>
    <mergeCell ref="AA139:AA140"/>
    <mergeCell ref="AC139:AC140"/>
    <mergeCell ref="AD139:AD140"/>
    <mergeCell ref="AE139:AE140"/>
    <mergeCell ref="AF139:AF140"/>
    <mergeCell ref="AG139:AG140"/>
    <mergeCell ref="Y141:Y142"/>
    <mergeCell ref="Z141:Z142"/>
    <mergeCell ref="AA141:AA142"/>
    <mergeCell ref="J133:J134"/>
    <mergeCell ref="P133:P134"/>
    <mergeCell ref="V133:V134"/>
    <mergeCell ref="AB133:AB134"/>
    <mergeCell ref="AH133:AH134"/>
    <mergeCell ref="J135:J136"/>
    <mergeCell ref="P135:P136"/>
    <mergeCell ref="V135:V136"/>
    <mergeCell ref="AB135:AB136"/>
    <mergeCell ref="AH135:AH136"/>
    <mergeCell ref="J129:J130"/>
    <mergeCell ref="P129:P130"/>
    <mergeCell ref="V129:V130"/>
    <mergeCell ref="AB129:AB130"/>
    <mergeCell ref="AH129:AH130"/>
    <mergeCell ref="J131:J132"/>
    <mergeCell ref="P131:P132"/>
    <mergeCell ref="V131:V132"/>
    <mergeCell ref="AB131:AB132"/>
    <mergeCell ref="AH131:AH132"/>
    <mergeCell ref="W129:W130"/>
    <mergeCell ref="X129:X130"/>
    <mergeCell ref="Y129:Y130"/>
    <mergeCell ref="Z129:Z130"/>
    <mergeCell ref="AA129:AA130"/>
    <mergeCell ref="AC129:AC130"/>
    <mergeCell ref="AD129:AD130"/>
    <mergeCell ref="AE129:AE130"/>
    <mergeCell ref="AF129:AF130"/>
    <mergeCell ref="AG129:AG130"/>
    <mergeCell ref="Y131:Y132"/>
    <mergeCell ref="Z131:Z132"/>
    <mergeCell ref="AH122:AH123"/>
    <mergeCell ref="J127:J128"/>
    <mergeCell ref="P127:P128"/>
    <mergeCell ref="V127:V128"/>
    <mergeCell ref="AB127:AB128"/>
    <mergeCell ref="AH127:AH128"/>
    <mergeCell ref="J118:J119"/>
    <mergeCell ref="P118:P119"/>
    <mergeCell ref="V118:V119"/>
    <mergeCell ref="AB118:AB119"/>
    <mergeCell ref="AH118:AH119"/>
    <mergeCell ref="J120:J121"/>
    <mergeCell ref="P120:P121"/>
    <mergeCell ref="V120:V121"/>
    <mergeCell ref="AB120:AB121"/>
    <mergeCell ref="AH120:AH121"/>
    <mergeCell ref="V125:V126"/>
    <mergeCell ref="W125:W126"/>
    <mergeCell ref="X125:X126"/>
    <mergeCell ref="Y125:Y126"/>
    <mergeCell ref="Z125:Z126"/>
    <mergeCell ref="AA125:AA126"/>
    <mergeCell ref="AB125:AB126"/>
    <mergeCell ref="AC125:AC126"/>
    <mergeCell ref="AD125:AD126"/>
    <mergeCell ref="AE125:AE126"/>
    <mergeCell ref="AF125:AF126"/>
    <mergeCell ref="AG125:AG126"/>
    <mergeCell ref="B124:AH124"/>
    <mergeCell ref="AH114:AH115"/>
    <mergeCell ref="J116:J117"/>
    <mergeCell ref="P116:P117"/>
    <mergeCell ref="V116:V117"/>
    <mergeCell ref="AB116:AB117"/>
    <mergeCell ref="AH116:AH117"/>
    <mergeCell ref="J110:J111"/>
    <mergeCell ref="P110:P111"/>
    <mergeCell ref="V110:V111"/>
    <mergeCell ref="AB110:AB111"/>
    <mergeCell ref="AH110:AH111"/>
    <mergeCell ref="J112:J113"/>
    <mergeCell ref="P112:P113"/>
    <mergeCell ref="V112:V113"/>
    <mergeCell ref="AB112:AB113"/>
    <mergeCell ref="AH112:AH113"/>
    <mergeCell ref="AD110:AD111"/>
    <mergeCell ref="AE110:AE111"/>
    <mergeCell ref="AF110:AF111"/>
    <mergeCell ref="AD112:AD113"/>
    <mergeCell ref="AE112:AE113"/>
    <mergeCell ref="AF112:AF113"/>
    <mergeCell ref="AD114:AD115"/>
    <mergeCell ref="AE114:AE115"/>
    <mergeCell ref="AF114:AF115"/>
    <mergeCell ref="AD116:AD117"/>
    <mergeCell ref="AE116:AE117"/>
    <mergeCell ref="AF116:AF117"/>
    <mergeCell ref="AH104:AH105"/>
    <mergeCell ref="J106:J107"/>
    <mergeCell ref="P106:P107"/>
    <mergeCell ref="V106:V107"/>
    <mergeCell ref="AB106:AB107"/>
    <mergeCell ref="AH106:AH107"/>
    <mergeCell ref="J100:J101"/>
    <mergeCell ref="P100:P101"/>
    <mergeCell ref="V100:V101"/>
    <mergeCell ref="AB100:AB101"/>
    <mergeCell ref="AH100:AH101"/>
    <mergeCell ref="J102:J103"/>
    <mergeCell ref="P102:P103"/>
    <mergeCell ref="V102:V103"/>
    <mergeCell ref="AB102:AB103"/>
    <mergeCell ref="AH102:AH103"/>
    <mergeCell ref="AD102:AD103"/>
    <mergeCell ref="AE102:AE103"/>
    <mergeCell ref="AF102:AF103"/>
    <mergeCell ref="AD104:AD105"/>
    <mergeCell ref="AE104:AE105"/>
    <mergeCell ref="AF104:AF105"/>
    <mergeCell ref="AD106:AD107"/>
    <mergeCell ref="AE106:AE107"/>
    <mergeCell ref="AF106:AF107"/>
    <mergeCell ref="AH96:AH97"/>
    <mergeCell ref="D98:D99"/>
    <mergeCell ref="J98:J99"/>
    <mergeCell ref="P98:P99"/>
    <mergeCell ref="V98:V99"/>
    <mergeCell ref="AB98:AB99"/>
    <mergeCell ref="AH98:AH99"/>
    <mergeCell ref="E96:E97"/>
    <mergeCell ref="F96:F97"/>
    <mergeCell ref="G96:G97"/>
    <mergeCell ref="J93:J94"/>
    <mergeCell ref="P93:P94"/>
    <mergeCell ref="V93:V94"/>
    <mergeCell ref="AB93:AB94"/>
    <mergeCell ref="AH93:AH94"/>
    <mergeCell ref="D96:D97"/>
    <mergeCell ref="J96:J97"/>
    <mergeCell ref="P96:P97"/>
    <mergeCell ref="V96:V97"/>
    <mergeCell ref="AB96:AB97"/>
    <mergeCell ref="E93:E94"/>
    <mergeCell ref="F93:F94"/>
    <mergeCell ref="G93:G94"/>
    <mergeCell ref="H93:H94"/>
    <mergeCell ref="K93:K94"/>
    <mergeCell ref="L93:L94"/>
    <mergeCell ref="M93:M94"/>
    <mergeCell ref="N93:N94"/>
    <mergeCell ref="Q93:Q94"/>
    <mergeCell ref="R93:R94"/>
    <mergeCell ref="S93:S94"/>
    <mergeCell ref="T93:T94"/>
    <mergeCell ref="AH89:AH90"/>
    <mergeCell ref="J91:J92"/>
    <mergeCell ref="P91:P92"/>
    <mergeCell ref="V91:V92"/>
    <mergeCell ref="AB91:AB92"/>
    <mergeCell ref="AH91:AH92"/>
    <mergeCell ref="J85:J86"/>
    <mergeCell ref="P85:P86"/>
    <mergeCell ref="V85:V86"/>
    <mergeCell ref="AB85:AB86"/>
    <mergeCell ref="AH85:AH86"/>
    <mergeCell ref="J87:J88"/>
    <mergeCell ref="P87:P88"/>
    <mergeCell ref="V87:V88"/>
    <mergeCell ref="AB87:AB88"/>
    <mergeCell ref="AH87:AH88"/>
    <mergeCell ref="AD85:AD86"/>
    <mergeCell ref="AE85:AE86"/>
    <mergeCell ref="AF85:AF86"/>
    <mergeCell ref="AD87:AD88"/>
    <mergeCell ref="AE87:AE88"/>
    <mergeCell ref="AF87:AF88"/>
    <mergeCell ref="AD89:AD90"/>
    <mergeCell ref="AE89:AE90"/>
    <mergeCell ref="AF89:AF90"/>
    <mergeCell ref="AD91:AD92"/>
    <mergeCell ref="AE91:AE92"/>
    <mergeCell ref="AF91:AF92"/>
    <mergeCell ref="AB78:AB79"/>
    <mergeCell ref="AH78:AH79"/>
    <mergeCell ref="J83:J84"/>
    <mergeCell ref="P83:P84"/>
    <mergeCell ref="V83:V84"/>
    <mergeCell ref="AB83:AB84"/>
    <mergeCell ref="AH83:AH84"/>
    <mergeCell ref="D74:D75"/>
    <mergeCell ref="J74:J75"/>
    <mergeCell ref="P74:P75"/>
    <mergeCell ref="V74:V75"/>
    <mergeCell ref="AB74:AB75"/>
    <mergeCell ref="AH74:AH75"/>
    <mergeCell ref="Q74:Q75"/>
    <mergeCell ref="R74:R75"/>
    <mergeCell ref="S74:S75"/>
    <mergeCell ref="T74:T75"/>
    <mergeCell ref="D83:D84"/>
    <mergeCell ref="E78:E79"/>
    <mergeCell ref="F78:F79"/>
    <mergeCell ref="G78:G79"/>
    <mergeCell ref="H78:H79"/>
    <mergeCell ref="K78:K79"/>
    <mergeCell ref="L78:L79"/>
    <mergeCell ref="M78:M79"/>
    <mergeCell ref="N78:N79"/>
    <mergeCell ref="Q78:Q79"/>
    <mergeCell ref="R78:R79"/>
    <mergeCell ref="S78:S79"/>
    <mergeCell ref="B80:AH80"/>
    <mergeCell ref="D71:D72"/>
    <mergeCell ref="J71:J72"/>
    <mergeCell ref="P71:P72"/>
    <mergeCell ref="V71:V72"/>
    <mergeCell ref="AB71:AB72"/>
    <mergeCell ref="AH71:AH72"/>
    <mergeCell ref="Q71:Q72"/>
    <mergeCell ref="R71:R72"/>
    <mergeCell ref="S71:S72"/>
    <mergeCell ref="T71:T72"/>
    <mergeCell ref="D69:D70"/>
    <mergeCell ref="J69:J70"/>
    <mergeCell ref="P69:P70"/>
    <mergeCell ref="V69:V70"/>
    <mergeCell ref="AB69:AB70"/>
    <mergeCell ref="AH69:AH70"/>
    <mergeCell ref="Q69:Q70"/>
    <mergeCell ref="R69:R70"/>
    <mergeCell ref="S69:S70"/>
    <mergeCell ref="T69:T70"/>
    <mergeCell ref="E71:E72"/>
    <mergeCell ref="F71:F72"/>
    <mergeCell ref="G71:G72"/>
    <mergeCell ref="H71:H72"/>
    <mergeCell ref="K71:K72"/>
    <mergeCell ref="L71:L72"/>
    <mergeCell ref="M71:M72"/>
    <mergeCell ref="N71:N72"/>
    <mergeCell ref="W71:W72"/>
    <mergeCell ref="X71:X72"/>
    <mergeCell ref="Y71:Y72"/>
    <mergeCell ref="Z71:Z72"/>
    <mergeCell ref="D67:D68"/>
    <mergeCell ref="J67:J68"/>
    <mergeCell ref="P67:P68"/>
    <mergeCell ref="V67:V68"/>
    <mergeCell ref="AB67:AB68"/>
    <mergeCell ref="AH67:AH68"/>
    <mergeCell ref="Q67:Q68"/>
    <mergeCell ref="R67:R68"/>
    <mergeCell ref="S67:S68"/>
    <mergeCell ref="T67:T68"/>
    <mergeCell ref="D65:D66"/>
    <mergeCell ref="J65:J66"/>
    <mergeCell ref="P65:P66"/>
    <mergeCell ref="V65:V66"/>
    <mergeCell ref="AB65:AB66"/>
    <mergeCell ref="AH65:AH66"/>
    <mergeCell ref="Q65:Q66"/>
    <mergeCell ref="R65:R66"/>
    <mergeCell ref="S65:S66"/>
    <mergeCell ref="T65:T66"/>
    <mergeCell ref="E67:E68"/>
    <mergeCell ref="F67:F68"/>
    <mergeCell ref="G67:G68"/>
    <mergeCell ref="H67:H68"/>
    <mergeCell ref="K67:K68"/>
    <mergeCell ref="L67:L68"/>
    <mergeCell ref="M67:M68"/>
    <mergeCell ref="N67:N68"/>
    <mergeCell ref="W67:W68"/>
    <mergeCell ref="X67:X68"/>
    <mergeCell ref="Y67:Y68"/>
    <mergeCell ref="Z67:Z68"/>
    <mergeCell ref="AH61:AH62"/>
    <mergeCell ref="D63:D64"/>
    <mergeCell ref="J63:J64"/>
    <mergeCell ref="P63:P64"/>
    <mergeCell ref="V63:V64"/>
    <mergeCell ref="AB63:AB64"/>
    <mergeCell ref="AH63:AH64"/>
    <mergeCell ref="D61:D62"/>
    <mergeCell ref="I61:I62"/>
    <mergeCell ref="J61:J62"/>
    <mergeCell ref="P61:P62"/>
    <mergeCell ref="V61:V62"/>
    <mergeCell ref="AB61:AB62"/>
    <mergeCell ref="AH56:AH57"/>
    <mergeCell ref="D59:D60"/>
    <mergeCell ref="I59:I60"/>
    <mergeCell ref="J59:J60"/>
    <mergeCell ref="P59:P60"/>
    <mergeCell ref="V59:V60"/>
    <mergeCell ref="AB59:AB60"/>
    <mergeCell ref="AH59:AH60"/>
    <mergeCell ref="D56:D57"/>
    <mergeCell ref="I56:I57"/>
    <mergeCell ref="J56:J57"/>
    <mergeCell ref="P56:P57"/>
    <mergeCell ref="V56:V57"/>
    <mergeCell ref="AB56:AB57"/>
    <mergeCell ref="L56:L57"/>
    <mergeCell ref="M56:M57"/>
    <mergeCell ref="N56:N57"/>
    <mergeCell ref="E59:E60"/>
    <mergeCell ref="F59:F60"/>
    <mergeCell ref="AH52:AH53"/>
    <mergeCell ref="D54:D55"/>
    <mergeCell ref="I54:I55"/>
    <mergeCell ref="J54:J55"/>
    <mergeCell ref="P54:P55"/>
    <mergeCell ref="V54:V55"/>
    <mergeCell ref="AB54:AB55"/>
    <mergeCell ref="AH54:AH55"/>
    <mergeCell ref="D52:D53"/>
    <mergeCell ref="I52:I53"/>
    <mergeCell ref="J52:J53"/>
    <mergeCell ref="P52:P53"/>
    <mergeCell ref="V52:V53"/>
    <mergeCell ref="AB52:AB53"/>
    <mergeCell ref="AH48:AH49"/>
    <mergeCell ref="D50:D51"/>
    <mergeCell ref="I50:I51"/>
    <mergeCell ref="J50:J51"/>
    <mergeCell ref="P50:P51"/>
    <mergeCell ref="V50:V51"/>
    <mergeCell ref="AH50:AH51"/>
    <mergeCell ref="D48:D49"/>
    <mergeCell ref="I48:I49"/>
    <mergeCell ref="J48:J49"/>
    <mergeCell ref="P48:P49"/>
    <mergeCell ref="V48:V49"/>
    <mergeCell ref="AB48:AB49"/>
    <mergeCell ref="N48:N49"/>
    <mergeCell ref="Q48:Q49"/>
    <mergeCell ref="N50:N51"/>
    <mergeCell ref="Q50:Q51"/>
    <mergeCell ref="R50:R51"/>
    <mergeCell ref="AH44:AH45"/>
    <mergeCell ref="D46:D47"/>
    <mergeCell ref="I46:I47"/>
    <mergeCell ref="J46:J47"/>
    <mergeCell ref="P46:P47"/>
    <mergeCell ref="V46:V47"/>
    <mergeCell ref="AB46:AB47"/>
    <mergeCell ref="AH46:AH47"/>
    <mergeCell ref="D44:D45"/>
    <mergeCell ref="I44:I45"/>
    <mergeCell ref="J44:J45"/>
    <mergeCell ref="P44:P45"/>
    <mergeCell ref="V44:V45"/>
    <mergeCell ref="AB44:AB45"/>
    <mergeCell ref="AH40:AH41"/>
    <mergeCell ref="D42:D43"/>
    <mergeCell ref="I42:I43"/>
    <mergeCell ref="J42:J43"/>
    <mergeCell ref="P42:P43"/>
    <mergeCell ref="V42:V43"/>
    <mergeCell ref="AH42:AH43"/>
    <mergeCell ref="D40:D41"/>
    <mergeCell ref="I40:I41"/>
    <mergeCell ref="J40:J41"/>
    <mergeCell ref="P40:P41"/>
    <mergeCell ref="V40:V41"/>
    <mergeCell ref="AB40:AB41"/>
    <mergeCell ref="R40:R41"/>
    <mergeCell ref="S40:S41"/>
    <mergeCell ref="S42:S43"/>
    <mergeCell ref="T42:T43"/>
    <mergeCell ref="W42:W43"/>
    <mergeCell ref="AH35:AH36"/>
    <mergeCell ref="D37:D38"/>
    <mergeCell ref="J37:J38"/>
    <mergeCell ref="O37:O38"/>
    <mergeCell ref="P37:P38"/>
    <mergeCell ref="V37:V38"/>
    <mergeCell ref="AB37:AB38"/>
    <mergeCell ref="AH37:AH38"/>
    <mergeCell ref="D35:D36"/>
    <mergeCell ref="I35:I36"/>
    <mergeCell ref="J35:J36"/>
    <mergeCell ref="O35:O36"/>
    <mergeCell ref="P35:P36"/>
    <mergeCell ref="V35:V36"/>
    <mergeCell ref="AB31:AB32"/>
    <mergeCell ref="I31:I32"/>
    <mergeCell ref="J31:J32"/>
    <mergeCell ref="O31:O32"/>
    <mergeCell ref="P31:P32"/>
    <mergeCell ref="AH31:AH32"/>
    <mergeCell ref="D33:D34"/>
    <mergeCell ref="I33:I34"/>
    <mergeCell ref="J33:J34"/>
    <mergeCell ref="O33:O34"/>
    <mergeCell ref="P33:P34"/>
    <mergeCell ref="V33:V34"/>
    <mergeCell ref="AB33:AB34"/>
    <mergeCell ref="AH33:AH34"/>
    <mergeCell ref="D31:D32"/>
    <mergeCell ref="E31:E32"/>
    <mergeCell ref="F31:F32"/>
    <mergeCell ref="G31:G32"/>
    <mergeCell ref="AH27:AH28"/>
    <mergeCell ref="D29:D30"/>
    <mergeCell ref="I29:I30"/>
    <mergeCell ref="J29:J30"/>
    <mergeCell ref="O29:O30"/>
    <mergeCell ref="P29:P30"/>
    <mergeCell ref="V29:V30"/>
    <mergeCell ref="AB29:AB30"/>
    <mergeCell ref="AH29:AH30"/>
    <mergeCell ref="D27:D28"/>
    <mergeCell ref="I27:I28"/>
    <mergeCell ref="J27:J28"/>
    <mergeCell ref="O27:O28"/>
    <mergeCell ref="P27:P28"/>
    <mergeCell ref="V27:V28"/>
    <mergeCell ref="Q27:Q28"/>
    <mergeCell ref="R27:R28"/>
    <mergeCell ref="S27:S28"/>
    <mergeCell ref="E27:E28"/>
    <mergeCell ref="F27:F28"/>
    <mergeCell ref="G27:G28"/>
    <mergeCell ref="H27:H28"/>
    <mergeCell ref="K27:K28"/>
    <mergeCell ref="L27:L28"/>
    <mergeCell ref="M27:M28"/>
    <mergeCell ref="N27:N28"/>
    <mergeCell ref="T27:T28"/>
    <mergeCell ref="U27:U28"/>
    <mergeCell ref="W27:W28"/>
    <mergeCell ref="X27:X28"/>
    <mergeCell ref="Y27:Y28"/>
    <mergeCell ref="Z27:Z28"/>
    <mergeCell ref="AH23:AH24"/>
    <mergeCell ref="D25:D26"/>
    <mergeCell ref="I25:I26"/>
    <mergeCell ref="J25:J26"/>
    <mergeCell ref="O25:O26"/>
    <mergeCell ref="P25:P26"/>
    <mergeCell ref="V25:V26"/>
    <mergeCell ref="AB25:AB26"/>
    <mergeCell ref="AH25:AH26"/>
    <mergeCell ref="D23:D24"/>
    <mergeCell ref="I23:I24"/>
    <mergeCell ref="J23:J24"/>
    <mergeCell ref="O23:O24"/>
    <mergeCell ref="P23:P24"/>
    <mergeCell ref="V23:V24"/>
    <mergeCell ref="E23:E24"/>
    <mergeCell ref="F23:F24"/>
    <mergeCell ref="G23:G24"/>
    <mergeCell ref="H23:H24"/>
    <mergeCell ref="K23:K24"/>
    <mergeCell ref="L23:L24"/>
    <mergeCell ref="M23:M24"/>
    <mergeCell ref="N23:N24"/>
    <mergeCell ref="Q23:Q24"/>
    <mergeCell ref="R23:R24"/>
    <mergeCell ref="S23:S24"/>
    <mergeCell ref="T23:T24"/>
    <mergeCell ref="U23:U24"/>
    <mergeCell ref="W23:W24"/>
    <mergeCell ref="X23:X24"/>
    <mergeCell ref="Y23:Y24"/>
    <mergeCell ref="Z23:Z24"/>
    <mergeCell ref="AH19:AH20"/>
    <mergeCell ref="D21:D22"/>
    <mergeCell ref="I21:I22"/>
    <mergeCell ref="J21:J22"/>
    <mergeCell ref="O21:O22"/>
    <mergeCell ref="P21:P22"/>
    <mergeCell ref="V21:V22"/>
    <mergeCell ref="AB21:AB22"/>
    <mergeCell ref="AH21:AH22"/>
    <mergeCell ref="D19:D20"/>
    <mergeCell ref="I19:I20"/>
    <mergeCell ref="J19:J20"/>
    <mergeCell ref="O19:O20"/>
    <mergeCell ref="P19:P20"/>
    <mergeCell ref="V19:V20"/>
    <mergeCell ref="Q19:Q20"/>
    <mergeCell ref="R19:R20"/>
    <mergeCell ref="S19:S20"/>
    <mergeCell ref="T19:T20"/>
    <mergeCell ref="E19:E20"/>
    <mergeCell ref="F19:F20"/>
    <mergeCell ref="G19:G20"/>
    <mergeCell ref="H19:H20"/>
    <mergeCell ref="K19:K20"/>
    <mergeCell ref="L19:L20"/>
    <mergeCell ref="M19:M20"/>
    <mergeCell ref="N19:N20"/>
    <mergeCell ref="U19:U20"/>
    <mergeCell ref="W19:W20"/>
    <mergeCell ref="X19:X20"/>
    <mergeCell ref="Y19:Y20"/>
    <mergeCell ref="AH15:AH16"/>
    <mergeCell ref="D17:D18"/>
    <mergeCell ref="I17:I18"/>
    <mergeCell ref="J17:J18"/>
    <mergeCell ref="O17:O18"/>
    <mergeCell ref="P17:P18"/>
    <mergeCell ref="V17:V18"/>
    <mergeCell ref="AB17:AB18"/>
    <mergeCell ref="AH17:AH18"/>
    <mergeCell ref="D15:D16"/>
    <mergeCell ref="I15:I16"/>
    <mergeCell ref="J15:J16"/>
    <mergeCell ref="O15:O16"/>
    <mergeCell ref="P15:P16"/>
    <mergeCell ref="V15:V16"/>
    <mergeCell ref="E15:E16"/>
    <mergeCell ref="F15:F16"/>
    <mergeCell ref="G15:G16"/>
    <mergeCell ref="H15:H16"/>
    <mergeCell ref="K15:K16"/>
    <mergeCell ref="L15:L16"/>
    <mergeCell ref="M15:M16"/>
    <mergeCell ref="N15:N16"/>
    <mergeCell ref="Q15:Q16"/>
    <mergeCell ref="R15:R16"/>
    <mergeCell ref="S15:S16"/>
    <mergeCell ref="T15:T16"/>
    <mergeCell ref="U15:U16"/>
    <mergeCell ref="W15:W16"/>
    <mergeCell ref="X15:X16"/>
    <mergeCell ref="Y15:Y16"/>
    <mergeCell ref="Z15:Z16"/>
    <mergeCell ref="AC10:AG10"/>
    <mergeCell ref="E11:J11"/>
    <mergeCell ref="K11:O11"/>
    <mergeCell ref="Q11:U11"/>
    <mergeCell ref="W11:AA11"/>
    <mergeCell ref="AC11:AG11"/>
    <mergeCell ref="O3:O5"/>
    <mergeCell ref="Y5:Y6"/>
    <mergeCell ref="E10:I10"/>
    <mergeCell ref="K10:P10"/>
    <mergeCell ref="Q10:V10"/>
    <mergeCell ref="W10:AA10"/>
    <mergeCell ref="A3:M3"/>
    <mergeCell ref="A8:X8"/>
    <mergeCell ref="A4:C4"/>
    <mergeCell ref="C251:C252"/>
    <mergeCell ref="C253:C254"/>
    <mergeCell ref="B249:B254"/>
    <mergeCell ref="C249:C250"/>
    <mergeCell ref="C247:C248"/>
    <mergeCell ref="C245:C246"/>
    <mergeCell ref="B243:B248"/>
    <mergeCell ref="C243:C244"/>
    <mergeCell ref="C241:C242"/>
    <mergeCell ref="C239:C240"/>
    <mergeCell ref="A222:A223"/>
    <mergeCell ref="A237:A254"/>
    <mergeCell ref="B237:B242"/>
    <mergeCell ref="A226:A235"/>
    <mergeCell ref="B226:C227"/>
    <mergeCell ref="B228:C229"/>
    <mergeCell ref="B230:C231"/>
    <mergeCell ref="B232:C233"/>
    <mergeCell ref="B234:C235"/>
    <mergeCell ref="B222:B223"/>
    <mergeCell ref="C222:C223"/>
    <mergeCell ref="A213:A218"/>
    <mergeCell ref="B213:C214"/>
    <mergeCell ref="B215:C216"/>
    <mergeCell ref="B217:C218"/>
    <mergeCell ref="B208:C209"/>
    <mergeCell ref="B210:C211"/>
    <mergeCell ref="C206:C207"/>
    <mergeCell ref="B202:B207"/>
    <mergeCell ref="C202:C203"/>
    <mergeCell ref="B198:C199"/>
    <mergeCell ref="B200:C201"/>
    <mergeCell ref="A196:A211"/>
    <mergeCell ref="B196:C197"/>
    <mergeCell ref="C204:C205"/>
    <mergeCell ref="B212:AH212"/>
    <mergeCell ref="B225:AH225"/>
    <mergeCell ref="B192:C193"/>
    <mergeCell ref="A177:A182"/>
    <mergeCell ref="C187:C188"/>
    <mergeCell ref="A190:A193"/>
    <mergeCell ref="B190:C191"/>
    <mergeCell ref="A183:A188"/>
    <mergeCell ref="B183:B188"/>
    <mergeCell ref="C183:C184"/>
    <mergeCell ref="C185:C186"/>
    <mergeCell ref="B177:B182"/>
    <mergeCell ref="C177:C178"/>
    <mergeCell ref="C179:C180"/>
    <mergeCell ref="C181:C182"/>
    <mergeCell ref="C159:C160"/>
    <mergeCell ref="C173:C174"/>
    <mergeCell ref="C175:C176"/>
    <mergeCell ref="A171:A176"/>
    <mergeCell ref="B171:B176"/>
    <mergeCell ref="C171:C172"/>
    <mergeCell ref="C167:C168"/>
    <mergeCell ref="C169:C170"/>
    <mergeCell ref="C157:C158"/>
    <mergeCell ref="C155:C156"/>
    <mergeCell ref="A153:A170"/>
    <mergeCell ref="B153:B158"/>
    <mergeCell ref="C153:C154"/>
    <mergeCell ref="C163:C164"/>
    <mergeCell ref="B165:B170"/>
    <mergeCell ref="C165:C166"/>
    <mergeCell ref="C161:C162"/>
    <mergeCell ref="B159:B164"/>
    <mergeCell ref="B131:B136"/>
    <mergeCell ref="C131:C132"/>
    <mergeCell ref="C150:C151"/>
    <mergeCell ref="C148:C149"/>
    <mergeCell ref="B143:B145"/>
    <mergeCell ref="B146:B151"/>
    <mergeCell ref="C146:C147"/>
    <mergeCell ref="C141:C142"/>
    <mergeCell ref="C127:C128"/>
    <mergeCell ref="A125:A151"/>
    <mergeCell ref="B125:B130"/>
    <mergeCell ref="C125:C126"/>
    <mergeCell ref="C129:C130"/>
    <mergeCell ref="C139:C140"/>
    <mergeCell ref="B137:B142"/>
    <mergeCell ref="C137:C138"/>
    <mergeCell ref="C135:C136"/>
    <mergeCell ref="C133:C134"/>
    <mergeCell ref="C120:C121"/>
    <mergeCell ref="B118:B123"/>
    <mergeCell ref="C118:C119"/>
    <mergeCell ref="C116:C117"/>
    <mergeCell ref="B112:B117"/>
    <mergeCell ref="C112:C113"/>
    <mergeCell ref="B108:C108"/>
    <mergeCell ref="A109:A123"/>
    <mergeCell ref="B110:C111"/>
    <mergeCell ref="C114:C115"/>
    <mergeCell ref="C106:C107"/>
    <mergeCell ref="C104:C105"/>
    <mergeCell ref="B102:B107"/>
    <mergeCell ref="C102:C103"/>
    <mergeCell ref="A82:A107"/>
    <mergeCell ref="C122:C123"/>
    <mergeCell ref="B81:C81"/>
    <mergeCell ref="B83:B88"/>
    <mergeCell ref="C83:C84"/>
    <mergeCell ref="C100:C101"/>
    <mergeCell ref="C98:C99"/>
    <mergeCell ref="B95:C95"/>
    <mergeCell ref="B96:B101"/>
    <mergeCell ref="C96:C97"/>
    <mergeCell ref="C93:C94"/>
    <mergeCell ref="B78:C79"/>
    <mergeCell ref="A74:A79"/>
    <mergeCell ref="B74:C75"/>
    <mergeCell ref="B71:C72"/>
    <mergeCell ref="A59:A72"/>
    <mergeCell ref="C91:C92"/>
    <mergeCell ref="B89:B94"/>
    <mergeCell ref="C89:C90"/>
    <mergeCell ref="C87:C88"/>
    <mergeCell ref="C85:C86"/>
    <mergeCell ref="B59:C60"/>
    <mergeCell ref="B61:C62"/>
    <mergeCell ref="B76:C76"/>
    <mergeCell ref="B77:C77"/>
    <mergeCell ref="C50:C51"/>
    <mergeCell ref="C48:C49"/>
    <mergeCell ref="B46:B51"/>
    <mergeCell ref="C46:C47"/>
    <mergeCell ref="B69:C70"/>
    <mergeCell ref="B67:C68"/>
    <mergeCell ref="B63:C64"/>
    <mergeCell ref="B65:C66"/>
    <mergeCell ref="B58:AH58"/>
    <mergeCell ref="B73:AH73"/>
    <mergeCell ref="C42:C43"/>
    <mergeCell ref="A40:A57"/>
    <mergeCell ref="B40:B45"/>
    <mergeCell ref="C40:C41"/>
    <mergeCell ref="C44:C45"/>
    <mergeCell ref="C56:C57"/>
    <mergeCell ref="C54:C55"/>
    <mergeCell ref="B52:B57"/>
    <mergeCell ref="C52:C53"/>
    <mergeCell ref="C35:C36"/>
    <mergeCell ref="B33:B38"/>
    <mergeCell ref="C33:C34"/>
    <mergeCell ref="C31:C32"/>
    <mergeCell ref="C29:C30"/>
    <mergeCell ref="B27:B32"/>
    <mergeCell ref="C27:C28"/>
    <mergeCell ref="C25:C26"/>
    <mergeCell ref="B39:AH39"/>
    <mergeCell ref="C23:C24"/>
    <mergeCell ref="B21:B26"/>
    <mergeCell ref="C21:C22"/>
    <mergeCell ref="C17:C18"/>
    <mergeCell ref="A15:A38"/>
    <mergeCell ref="B15:B20"/>
    <mergeCell ref="C15:C16"/>
    <mergeCell ref="C19:C20"/>
    <mergeCell ref="C37:C38"/>
    <mergeCell ref="A7:C7"/>
    <mergeCell ref="B10:B12"/>
    <mergeCell ref="C10:C12"/>
    <mergeCell ref="A5:B5"/>
    <mergeCell ref="A6:B6"/>
    <mergeCell ref="A2:N2"/>
    <mergeCell ref="N3:N5"/>
    <mergeCell ref="D78:D79"/>
    <mergeCell ref="E46:E47"/>
    <mergeCell ref="F46:F47"/>
    <mergeCell ref="G46:G47"/>
    <mergeCell ref="H46:H47"/>
    <mergeCell ref="K46:K47"/>
    <mergeCell ref="L46:L47"/>
    <mergeCell ref="M46:M47"/>
    <mergeCell ref="N46:N47"/>
    <mergeCell ref="E50:E51"/>
    <mergeCell ref="F50:F51"/>
    <mergeCell ref="G50:G51"/>
    <mergeCell ref="H50:H51"/>
    <mergeCell ref="K50:K51"/>
    <mergeCell ref="L50:L51"/>
    <mergeCell ref="M50:M51"/>
    <mergeCell ref="D85:D86"/>
    <mergeCell ref="D87:D88"/>
    <mergeCell ref="D89:D90"/>
    <mergeCell ref="D91:D92"/>
    <mergeCell ref="D93:D94"/>
    <mergeCell ref="D102:D103"/>
    <mergeCell ref="D104:D105"/>
    <mergeCell ref="D106:D107"/>
    <mergeCell ref="D110:D111"/>
    <mergeCell ref="D112:D113"/>
    <mergeCell ref="D100:D101"/>
    <mergeCell ref="D114:D115"/>
    <mergeCell ref="D116:D117"/>
    <mergeCell ref="D118:D119"/>
    <mergeCell ref="D120:D121"/>
    <mergeCell ref="D122:D123"/>
    <mergeCell ref="D125:D126"/>
    <mergeCell ref="D127:D128"/>
    <mergeCell ref="D129:D130"/>
    <mergeCell ref="D131:D132"/>
    <mergeCell ref="D133:D134"/>
    <mergeCell ref="D135:D136"/>
    <mergeCell ref="D137:D138"/>
    <mergeCell ref="D139:D140"/>
    <mergeCell ref="D141:D142"/>
    <mergeCell ref="D146:D147"/>
    <mergeCell ref="D148:D149"/>
    <mergeCell ref="D150:D151"/>
    <mergeCell ref="D153:D154"/>
    <mergeCell ref="B152:AH152"/>
    <mergeCell ref="D155:D156"/>
    <mergeCell ref="D157:D158"/>
    <mergeCell ref="D159:D160"/>
    <mergeCell ref="D161:D162"/>
    <mergeCell ref="E129:E130"/>
    <mergeCell ref="F129:F130"/>
    <mergeCell ref="G129:G130"/>
    <mergeCell ref="H129:H130"/>
    <mergeCell ref="I129:I130"/>
    <mergeCell ref="K129:K130"/>
    <mergeCell ref="L129:L130"/>
    <mergeCell ref="M129:M130"/>
    <mergeCell ref="N129:N130"/>
    <mergeCell ref="O129:O130"/>
    <mergeCell ref="Q129:Q130"/>
    <mergeCell ref="R129:R130"/>
    <mergeCell ref="S129:S130"/>
    <mergeCell ref="T129:T130"/>
    <mergeCell ref="U129:U130"/>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190:D191"/>
    <mergeCell ref="B189:AH189"/>
    <mergeCell ref="N179:N180"/>
    <mergeCell ref="Q179:Q180"/>
    <mergeCell ref="R179:R180"/>
    <mergeCell ref="E163:E164"/>
    <mergeCell ref="F163:F164"/>
    <mergeCell ref="G163:G164"/>
    <mergeCell ref="H163:H164"/>
    <mergeCell ref="K163:K164"/>
    <mergeCell ref="L163:L164"/>
    <mergeCell ref="M163:M164"/>
    <mergeCell ref="N163:N164"/>
    <mergeCell ref="Q163:Q164"/>
    <mergeCell ref="R163:R164"/>
    <mergeCell ref="S163:S164"/>
    <mergeCell ref="T163:T164"/>
    <mergeCell ref="W163:W164"/>
    <mergeCell ref="X163:X164"/>
    <mergeCell ref="D192:D193"/>
    <mergeCell ref="D237:D238"/>
    <mergeCell ref="D239:D240"/>
    <mergeCell ref="D241:D242"/>
    <mergeCell ref="D243:D244"/>
    <mergeCell ref="D245:D246"/>
    <mergeCell ref="D196:D197"/>
    <mergeCell ref="D206:D207"/>
    <mergeCell ref="D210:D211"/>
    <mergeCell ref="D213:D214"/>
    <mergeCell ref="D198:D199"/>
    <mergeCell ref="D208:D209"/>
    <mergeCell ref="D247:D248"/>
    <mergeCell ref="D249:D250"/>
    <mergeCell ref="D251:D252"/>
    <mergeCell ref="D253:D254"/>
    <mergeCell ref="D215:D216"/>
    <mergeCell ref="B194:AH194"/>
    <mergeCell ref="B195:AH195"/>
    <mergeCell ref="B236:AH236"/>
    <mergeCell ref="J253:J254"/>
    <mergeCell ref="P253:P254"/>
    <mergeCell ref="V253:V254"/>
    <mergeCell ref="AB253:AB254"/>
    <mergeCell ref="AH253:AH254"/>
    <mergeCell ref="J249:J250"/>
    <mergeCell ref="P249:P250"/>
    <mergeCell ref="V249:V250"/>
    <mergeCell ref="AB249:AB250"/>
    <mergeCell ref="AH249:AH250"/>
    <mergeCell ref="J251:J252"/>
    <mergeCell ref="P251:P252"/>
    <mergeCell ref="E125:E126"/>
    <mergeCell ref="F125:F126"/>
    <mergeCell ref="G125:G126"/>
    <mergeCell ref="H125:H126"/>
    <mergeCell ref="I125:I126"/>
    <mergeCell ref="J125:J126"/>
    <mergeCell ref="K125:K126"/>
    <mergeCell ref="L125:L126"/>
    <mergeCell ref="M125:M126"/>
    <mergeCell ref="N125:N126"/>
    <mergeCell ref="O125:O126"/>
    <mergeCell ref="P125:P126"/>
    <mergeCell ref="Q125:Q126"/>
    <mergeCell ref="R125:R126"/>
    <mergeCell ref="S125:S126"/>
    <mergeCell ref="T125:T126"/>
    <mergeCell ref="U125:U126"/>
    <mergeCell ref="E127:E128"/>
    <mergeCell ref="F127:F128"/>
    <mergeCell ref="G127:G128"/>
    <mergeCell ref="H127:H128"/>
    <mergeCell ref="I127:I128"/>
    <mergeCell ref="K127:K128"/>
    <mergeCell ref="L127:L128"/>
    <mergeCell ref="M127:M128"/>
    <mergeCell ref="N127:N128"/>
    <mergeCell ref="O127:O128"/>
    <mergeCell ref="Q127:Q128"/>
    <mergeCell ref="R127:R128"/>
    <mergeCell ref="S127:S128"/>
    <mergeCell ref="T127:T128"/>
    <mergeCell ref="U127:U128"/>
    <mergeCell ref="W127:W128"/>
    <mergeCell ref="X127:X128"/>
    <mergeCell ref="F131:F132"/>
    <mergeCell ref="G131:G132"/>
    <mergeCell ref="H131:H132"/>
    <mergeCell ref="I131:I132"/>
    <mergeCell ref="K131:K132"/>
    <mergeCell ref="L131:L132"/>
    <mergeCell ref="M131:M132"/>
    <mergeCell ref="N131:N132"/>
    <mergeCell ref="O131:O132"/>
    <mergeCell ref="Q131:Q132"/>
    <mergeCell ref="R131:R132"/>
    <mergeCell ref="S131:S132"/>
    <mergeCell ref="T131:T132"/>
    <mergeCell ref="U131:U132"/>
    <mergeCell ref="W131:W132"/>
    <mergeCell ref="X131:X132"/>
    <mergeCell ref="AH125:AH126"/>
    <mergeCell ref="Y127:Y128"/>
    <mergeCell ref="Z127:Z128"/>
    <mergeCell ref="AA127:AA128"/>
    <mergeCell ref="AC127:AC128"/>
    <mergeCell ref="AD127:AD128"/>
    <mergeCell ref="AE127:AE128"/>
    <mergeCell ref="AF127:AF128"/>
    <mergeCell ref="AG127:AG128"/>
    <mergeCell ref="AA131:AA132"/>
    <mergeCell ref="AC131:AC132"/>
    <mergeCell ref="AD131:AD132"/>
    <mergeCell ref="AE131:AE132"/>
    <mergeCell ref="AF131:AF132"/>
    <mergeCell ref="AG131:AG132"/>
    <mergeCell ref="E133:E134"/>
    <mergeCell ref="F133:F134"/>
    <mergeCell ref="G133:G134"/>
    <mergeCell ref="H133:H134"/>
    <mergeCell ref="I133:I134"/>
    <mergeCell ref="K133:K134"/>
    <mergeCell ref="L133:L134"/>
    <mergeCell ref="M133:M134"/>
    <mergeCell ref="N133:N134"/>
    <mergeCell ref="O133:O134"/>
    <mergeCell ref="Q133:Q134"/>
    <mergeCell ref="R133:R134"/>
    <mergeCell ref="S133:S134"/>
    <mergeCell ref="T133:T134"/>
    <mergeCell ref="U133:U134"/>
    <mergeCell ref="W133:W134"/>
    <mergeCell ref="X133:X134"/>
    <mergeCell ref="Y133:Y134"/>
    <mergeCell ref="Z133:Z134"/>
    <mergeCell ref="AA133:AA134"/>
    <mergeCell ref="AC133:AC134"/>
    <mergeCell ref="AD133:AD134"/>
    <mergeCell ref="AE133:AE134"/>
    <mergeCell ref="AF133:AF134"/>
    <mergeCell ref="AG133:AG134"/>
    <mergeCell ref="E131:E132"/>
    <mergeCell ref="E135:E136"/>
    <mergeCell ref="F135:F136"/>
    <mergeCell ref="G135:G136"/>
    <mergeCell ref="H135:H136"/>
    <mergeCell ref="I135:I136"/>
    <mergeCell ref="K135:K136"/>
    <mergeCell ref="L135:L136"/>
    <mergeCell ref="M135:M136"/>
    <mergeCell ref="N135:N136"/>
    <mergeCell ref="O135:O136"/>
    <mergeCell ref="Q135:Q136"/>
    <mergeCell ref="R135:R136"/>
    <mergeCell ref="S135:S136"/>
    <mergeCell ref="T135:T136"/>
    <mergeCell ref="U135:U136"/>
    <mergeCell ref="W135:W136"/>
    <mergeCell ref="X135:X136"/>
    <mergeCell ref="Y135:Y136"/>
    <mergeCell ref="Z135:Z136"/>
    <mergeCell ref="AA135:AA136"/>
    <mergeCell ref="AC135:AC136"/>
    <mergeCell ref="AD135:AD136"/>
    <mergeCell ref="AE135:AE136"/>
    <mergeCell ref="AF135:AF136"/>
    <mergeCell ref="AG135:AG136"/>
    <mergeCell ref="E137:E138"/>
    <mergeCell ref="F137:F138"/>
    <mergeCell ref="G137:G138"/>
    <mergeCell ref="H137:H138"/>
    <mergeCell ref="I137:I138"/>
    <mergeCell ref="K137:K138"/>
    <mergeCell ref="L137:L138"/>
    <mergeCell ref="M137:M138"/>
    <mergeCell ref="N137:N138"/>
    <mergeCell ref="O137:O138"/>
    <mergeCell ref="Q137:Q138"/>
    <mergeCell ref="R137:R138"/>
    <mergeCell ref="S137:S138"/>
    <mergeCell ref="T137:T138"/>
    <mergeCell ref="U137:U138"/>
    <mergeCell ref="W137:W138"/>
    <mergeCell ref="X137:X138"/>
    <mergeCell ref="Y137:Y138"/>
    <mergeCell ref="Z137:Z138"/>
    <mergeCell ref="AA137:AA138"/>
    <mergeCell ref="AC137:AC138"/>
    <mergeCell ref="AD137:AD138"/>
    <mergeCell ref="AE137:AE138"/>
    <mergeCell ref="AF137:AF138"/>
    <mergeCell ref="G141:G142"/>
    <mergeCell ref="H141:H142"/>
    <mergeCell ref="I141:I142"/>
    <mergeCell ref="K141:K142"/>
    <mergeCell ref="L141:L142"/>
    <mergeCell ref="M141:M142"/>
    <mergeCell ref="N141:N142"/>
    <mergeCell ref="O141:O142"/>
    <mergeCell ref="Q141:Q142"/>
    <mergeCell ref="R141:R142"/>
    <mergeCell ref="S141:S142"/>
    <mergeCell ref="T141:T142"/>
    <mergeCell ref="U141:U142"/>
    <mergeCell ref="W141:W142"/>
    <mergeCell ref="X141:X142"/>
    <mergeCell ref="E139:E140"/>
    <mergeCell ref="F139:F140"/>
    <mergeCell ref="G139:G140"/>
    <mergeCell ref="H139:H140"/>
    <mergeCell ref="I139:I140"/>
    <mergeCell ref="K139:K140"/>
    <mergeCell ref="L139:L140"/>
    <mergeCell ref="M139:M140"/>
    <mergeCell ref="N139:N140"/>
    <mergeCell ref="O139:O140"/>
    <mergeCell ref="Q139:Q140"/>
    <mergeCell ref="R139:R140"/>
    <mergeCell ref="S139:S140"/>
    <mergeCell ref="T139:T140"/>
    <mergeCell ref="U139:U140"/>
    <mergeCell ref="W139:W140"/>
    <mergeCell ref="X139:X140"/>
    <mergeCell ref="AC141:AC142"/>
    <mergeCell ref="AD141:AD142"/>
    <mergeCell ref="AE141:AE142"/>
    <mergeCell ref="AF141:AF142"/>
    <mergeCell ref="AG141:AG142"/>
    <mergeCell ref="E146:E147"/>
    <mergeCell ref="F146:F147"/>
    <mergeCell ref="G146:G147"/>
    <mergeCell ref="H146:H147"/>
    <mergeCell ref="I146:I147"/>
    <mergeCell ref="K146:K147"/>
    <mergeCell ref="L146:L147"/>
    <mergeCell ref="M146:M147"/>
    <mergeCell ref="N146:N147"/>
    <mergeCell ref="O146:O147"/>
    <mergeCell ref="Q146:Q147"/>
    <mergeCell ref="R146:R147"/>
    <mergeCell ref="S146:S147"/>
    <mergeCell ref="T146:T147"/>
    <mergeCell ref="U146:U147"/>
    <mergeCell ref="W146:W147"/>
    <mergeCell ref="X146:X147"/>
    <mergeCell ref="Y146:Y147"/>
    <mergeCell ref="Z146:Z147"/>
    <mergeCell ref="AA146:AA147"/>
    <mergeCell ref="AC146:AC147"/>
    <mergeCell ref="AD146:AD147"/>
    <mergeCell ref="AE146:AE147"/>
    <mergeCell ref="AF146:AF147"/>
    <mergeCell ref="AG146:AG147"/>
    <mergeCell ref="E141:E142"/>
    <mergeCell ref="F141:F142"/>
    <mergeCell ref="E148:E149"/>
    <mergeCell ref="F148:F149"/>
    <mergeCell ref="G148:G149"/>
    <mergeCell ref="H148:H149"/>
    <mergeCell ref="I148:I149"/>
    <mergeCell ref="K148:K149"/>
    <mergeCell ref="L148:L149"/>
    <mergeCell ref="M148:M149"/>
    <mergeCell ref="N148:N149"/>
    <mergeCell ref="O148:O149"/>
    <mergeCell ref="Q148:Q149"/>
    <mergeCell ref="R148:R149"/>
    <mergeCell ref="S148:S149"/>
    <mergeCell ref="T148:T149"/>
    <mergeCell ref="U148:U149"/>
    <mergeCell ref="W148:W149"/>
    <mergeCell ref="X148:X149"/>
    <mergeCell ref="E150:E151"/>
    <mergeCell ref="F150:F151"/>
    <mergeCell ref="G150:G151"/>
    <mergeCell ref="H150:H151"/>
    <mergeCell ref="I150:I151"/>
    <mergeCell ref="K150:K151"/>
    <mergeCell ref="L150:L151"/>
    <mergeCell ref="M150:M151"/>
    <mergeCell ref="N150:N151"/>
    <mergeCell ref="O150:O151"/>
    <mergeCell ref="Q150:Q151"/>
    <mergeCell ref="R150:R151"/>
    <mergeCell ref="S150:S151"/>
    <mergeCell ref="T150:T151"/>
    <mergeCell ref="U150:U151"/>
    <mergeCell ref="W150:W151"/>
    <mergeCell ref="X150:X151"/>
    <mergeCell ref="AD150:AD151"/>
    <mergeCell ref="AE150:AE151"/>
    <mergeCell ref="AF150:AF151"/>
    <mergeCell ref="AG150:AG151"/>
    <mergeCell ref="E40:E41"/>
    <mergeCell ref="F40:F41"/>
    <mergeCell ref="G40:G41"/>
    <mergeCell ref="H40:H41"/>
    <mergeCell ref="K40:K41"/>
    <mergeCell ref="L40:L41"/>
    <mergeCell ref="M40:M41"/>
    <mergeCell ref="N40:N41"/>
    <mergeCell ref="Q40:Q41"/>
    <mergeCell ref="T40:T41"/>
    <mergeCell ref="W40:W41"/>
    <mergeCell ref="X40:X41"/>
    <mergeCell ref="Y40:Y41"/>
    <mergeCell ref="Z40:Z41"/>
    <mergeCell ref="AC40:AC41"/>
    <mergeCell ref="AD40:AD41"/>
    <mergeCell ref="AE40:AE41"/>
    <mergeCell ref="AF40:AF41"/>
    <mergeCell ref="E42:E43"/>
    <mergeCell ref="F42:F43"/>
    <mergeCell ref="G42:G43"/>
    <mergeCell ref="H42:H43"/>
    <mergeCell ref="K42:K43"/>
    <mergeCell ref="L42:L43"/>
    <mergeCell ref="M42:M43"/>
    <mergeCell ref="N42:N43"/>
    <mergeCell ref="Q42:Q43"/>
    <mergeCell ref="R42:R43"/>
    <mergeCell ref="X42:X43"/>
    <mergeCell ref="Y42:Y43"/>
    <mergeCell ref="Z42:Z43"/>
    <mergeCell ref="AC42:AC43"/>
    <mergeCell ref="AD42:AD43"/>
    <mergeCell ref="AE42:AE43"/>
    <mergeCell ref="AB42:AB43"/>
    <mergeCell ref="AF42:AF43"/>
    <mergeCell ref="E44:E45"/>
    <mergeCell ref="F44:F45"/>
    <mergeCell ref="G44:G45"/>
    <mergeCell ref="H44:H45"/>
    <mergeCell ref="K44:K45"/>
    <mergeCell ref="L44:L45"/>
    <mergeCell ref="M44:M45"/>
    <mergeCell ref="N44:N45"/>
    <mergeCell ref="Q44:Q45"/>
    <mergeCell ref="R44:R45"/>
    <mergeCell ref="S44:S45"/>
    <mergeCell ref="T44:T45"/>
    <mergeCell ref="W44:W45"/>
    <mergeCell ref="X44:X45"/>
    <mergeCell ref="Y44:Y45"/>
    <mergeCell ref="Z44:Z45"/>
    <mergeCell ref="AC44:AC45"/>
    <mergeCell ref="AD44:AD45"/>
    <mergeCell ref="AE44:AE45"/>
    <mergeCell ref="AF44:AF45"/>
    <mergeCell ref="Q46:Q47"/>
    <mergeCell ref="R46:R47"/>
    <mergeCell ref="S46:S47"/>
    <mergeCell ref="T46:T47"/>
    <mergeCell ref="W46:W47"/>
    <mergeCell ref="X46:X47"/>
    <mergeCell ref="Y46:Y47"/>
    <mergeCell ref="Z46:Z47"/>
    <mergeCell ref="AC46:AC47"/>
    <mergeCell ref="AD46:AD47"/>
    <mergeCell ref="AE46:AE47"/>
    <mergeCell ref="AF46:AF47"/>
    <mergeCell ref="E48:E49"/>
    <mergeCell ref="F48:F49"/>
    <mergeCell ref="G48:G49"/>
    <mergeCell ref="H48:H49"/>
    <mergeCell ref="K48:K49"/>
    <mergeCell ref="L48:L49"/>
    <mergeCell ref="M48:M49"/>
    <mergeCell ref="R48:R49"/>
    <mergeCell ref="S48:S49"/>
    <mergeCell ref="T48:T49"/>
    <mergeCell ref="W48:W49"/>
    <mergeCell ref="X48:X49"/>
    <mergeCell ref="Y48:Y49"/>
    <mergeCell ref="Z48:Z49"/>
    <mergeCell ref="AC48:AC49"/>
    <mergeCell ref="AD48:AD49"/>
    <mergeCell ref="AE48:AE49"/>
    <mergeCell ref="AF48:AF49"/>
    <mergeCell ref="Z50:Z51"/>
    <mergeCell ref="AC50:AC51"/>
    <mergeCell ref="AB50:AB51"/>
    <mergeCell ref="AD50:AD51"/>
    <mergeCell ref="AE50:AE51"/>
    <mergeCell ref="AF50:AF51"/>
    <mergeCell ref="E52:E53"/>
    <mergeCell ref="F52:F53"/>
    <mergeCell ref="G52:G53"/>
    <mergeCell ref="H52:H53"/>
    <mergeCell ref="K52:K53"/>
    <mergeCell ref="L52:L53"/>
    <mergeCell ref="M52:M53"/>
    <mergeCell ref="N52:N53"/>
    <mergeCell ref="Q52:Q53"/>
    <mergeCell ref="R52:R53"/>
    <mergeCell ref="S52:S53"/>
    <mergeCell ref="T52:T53"/>
    <mergeCell ref="W52:W53"/>
    <mergeCell ref="X52:X53"/>
    <mergeCell ref="Y52:Y53"/>
    <mergeCell ref="Z52:Z53"/>
    <mergeCell ref="AC52:AC53"/>
    <mergeCell ref="AD52:AD53"/>
    <mergeCell ref="AE52:AE53"/>
    <mergeCell ref="AF52:AF53"/>
    <mergeCell ref="E54:E55"/>
    <mergeCell ref="F54:F55"/>
    <mergeCell ref="G54:G55"/>
    <mergeCell ref="H54:H55"/>
    <mergeCell ref="K54:K55"/>
    <mergeCell ref="L54:L55"/>
    <mergeCell ref="M54:M55"/>
    <mergeCell ref="N54:N55"/>
    <mergeCell ref="Q54:Q55"/>
    <mergeCell ref="R54:R55"/>
    <mergeCell ref="S54:S55"/>
    <mergeCell ref="T54:T55"/>
    <mergeCell ref="W54:W55"/>
    <mergeCell ref="X54:X55"/>
    <mergeCell ref="Y54:Y55"/>
    <mergeCell ref="Z54:Z55"/>
    <mergeCell ref="AC54:AC55"/>
    <mergeCell ref="E56:E57"/>
    <mergeCell ref="F56:F57"/>
    <mergeCell ref="G56:G57"/>
    <mergeCell ref="H56:H57"/>
    <mergeCell ref="K56:K57"/>
    <mergeCell ref="Q56:Q57"/>
    <mergeCell ref="R56:R57"/>
    <mergeCell ref="S56:S57"/>
    <mergeCell ref="T56:T57"/>
    <mergeCell ref="W56:W57"/>
    <mergeCell ref="X56:X57"/>
    <mergeCell ref="Y56:Y57"/>
    <mergeCell ref="Z56:Z57"/>
    <mergeCell ref="AC56:AC57"/>
    <mergeCell ref="AD56:AD57"/>
    <mergeCell ref="AE56:AE57"/>
    <mergeCell ref="AF56:AF57"/>
    <mergeCell ref="AA15:AA16"/>
    <mergeCell ref="AC15:AC16"/>
    <mergeCell ref="AD15:AD16"/>
    <mergeCell ref="AE15:AE16"/>
    <mergeCell ref="AF15:AF16"/>
    <mergeCell ref="AB15:AB16"/>
    <mergeCell ref="AG15:AG16"/>
    <mergeCell ref="E17:E18"/>
    <mergeCell ref="F17:F18"/>
    <mergeCell ref="G17:G18"/>
    <mergeCell ref="H17:H18"/>
    <mergeCell ref="K17:K18"/>
    <mergeCell ref="L17:L18"/>
    <mergeCell ref="M17:M18"/>
    <mergeCell ref="N17:N18"/>
    <mergeCell ref="Q17:Q18"/>
    <mergeCell ref="R17:R18"/>
    <mergeCell ref="S17:S18"/>
    <mergeCell ref="T17:T18"/>
    <mergeCell ref="U17:U18"/>
    <mergeCell ref="W17:W18"/>
    <mergeCell ref="X17:X18"/>
    <mergeCell ref="Y17:Y18"/>
    <mergeCell ref="Z17:Z18"/>
    <mergeCell ref="AA17:AA18"/>
    <mergeCell ref="AC17:AC18"/>
    <mergeCell ref="AD17:AD18"/>
    <mergeCell ref="AE17:AE18"/>
    <mergeCell ref="AF17:AF18"/>
    <mergeCell ref="AG17:AG18"/>
    <mergeCell ref="Z19:Z20"/>
    <mergeCell ref="AA19:AA20"/>
    <mergeCell ref="AC19:AC20"/>
    <mergeCell ref="AD19:AD20"/>
    <mergeCell ref="AE19:AE20"/>
    <mergeCell ref="AF19:AF20"/>
    <mergeCell ref="AG19:AG20"/>
    <mergeCell ref="E21:E22"/>
    <mergeCell ref="F21:F22"/>
    <mergeCell ref="G21:G22"/>
    <mergeCell ref="H21:H22"/>
    <mergeCell ref="K21:K22"/>
    <mergeCell ref="L21:L22"/>
    <mergeCell ref="M21:M22"/>
    <mergeCell ref="N21:N22"/>
    <mergeCell ref="Q21:Q22"/>
    <mergeCell ref="R21:R22"/>
    <mergeCell ref="S21:S22"/>
    <mergeCell ref="T21:T22"/>
    <mergeCell ref="U21:U22"/>
    <mergeCell ref="W21:W22"/>
    <mergeCell ref="X21:X22"/>
    <mergeCell ref="Y21:Y22"/>
    <mergeCell ref="Z21:Z22"/>
    <mergeCell ref="AA21:AA22"/>
    <mergeCell ref="AC21:AC22"/>
    <mergeCell ref="AD21:AD22"/>
    <mergeCell ref="AE21:AE22"/>
    <mergeCell ref="AF21:AF22"/>
    <mergeCell ref="AG21:AG22"/>
    <mergeCell ref="AB19:AB20"/>
    <mergeCell ref="AA23:AA24"/>
    <mergeCell ref="AC23:AC24"/>
    <mergeCell ref="AD23:AD24"/>
    <mergeCell ref="AE23:AE24"/>
    <mergeCell ref="AF23:AF24"/>
    <mergeCell ref="AB23:AB24"/>
    <mergeCell ref="AG23:AG24"/>
    <mergeCell ref="E25:E26"/>
    <mergeCell ref="F25:F26"/>
    <mergeCell ref="G25:G26"/>
    <mergeCell ref="H25:H26"/>
    <mergeCell ref="K25:K26"/>
    <mergeCell ref="L25:L26"/>
    <mergeCell ref="M25:M26"/>
    <mergeCell ref="N25:N26"/>
    <mergeCell ref="Q25:Q26"/>
    <mergeCell ref="R25:R26"/>
    <mergeCell ref="S25:S26"/>
    <mergeCell ref="T25:T26"/>
    <mergeCell ref="U25:U26"/>
    <mergeCell ref="W25:W26"/>
    <mergeCell ref="X25:X26"/>
    <mergeCell ref="Y25:Y26"/>
    <mergeCell ref="Z25:Z26"/>
    <mergeCell ref="AA25:AA26"/>
    <mergeCell ref="AC25:AC26"/>
    <mergeCell ref="AD25:AD26"/>
    <mergeCell ref="AE25:AE26"/>
    <mergeCell ref="AF25:AF26"/>
    <mergeCell ref="AG25:AG26"/>
    <mergeCell ref="AG27:AG28"/>
    <mergeCell ref="AB27:AB28"/>
    <mergeCell ref="E29:E30"/>
    <mergeCell ref="F29:F30"/>
    <mergeCell ref="G29:G30"/>
    <mergeCell ref="H29:H30"/>
    <mergeCell ref="K29:K30"/>
    <mergeCell ref="L29:L30"/>
    <mergeCell ref="M29:M30"/>
    <mergeCell ref="N29:N30"/>
    <mergeCell ref="Q29:Q30"/>
    <mergeCell ref="R29:R30"/>
    <mergeCell ref="S29:S30"/>
    <mergeCell ref="T29:T30"/>
    <mergeCell ref="U29:U30"/>
    <mergeCell ref="W29:W30"/>
    <mergeCell ref="X29:X30"/>
    <mergeCell ref="Y29:Y30"/>
    <mergeCell ref="Z29:Z30"/>
    <mergeCell ref="AA29:AA30"/>
    <mergeCell ref="AC29:AC30"/>
    <mergeCell ref="AD29:AD30"/>
    <mergeCell ref="AE29:AE30"/>
    <mergeCell ref="AF29:AF30"/>
    <mergeCell ref="AG29:AG30"/>
    <mergeCell ref="Q31:Q32"/>
    <mergeCell ref="R31:R32"/>
    <mergeCell ref="S31:S32"/>
    <mergeCell ref="T31:T32"/>
    <mergeCell ref="U31:U32"/>
    <mergeCell ref="W31:W32"/>
    <mergeCell ref="X31:X32"/>
    <mergeCell ref="Y31:Y32"/>
    <mergeCell ref="Z31:Z32"/>
    <mergeCell ref="V31:V32"/>
    <mergeCell ref="AA31:AA32"/>
    <mergeCell ref="AC31:AC32"/>
    <mergeCell ref="AA27:AA28"/>
    <mergeCell ref="AC27:AC28"/>
    <mergeCell ref="AD27:AD28"/>
    <mergeCell ref="AE27:AE28"/>
    <mergeCell ref="AF27:AF28"/>
    <mergeCell ref="AD31:AD32"/>
    <mergeCell ref="AE31:AE32"/>
    <mergeCell ref="AF31:AF32"/>
    <mergeCell ref="AG31:AG32"/>
    <mergeCell ref="E33:E34"/>
    <mergeCell ref="F33:F34"/>
    <mergeCell ref="G33:G34"/>
    <mergeCell ref="H33:H34"/>
    <mergeCell ref="K33:K34"/>
    <mergeCell ref="L33:L34"/>
    <mergeCell ref="M33:M34"/>
    <mergeCell ref="N33:N34"/>
    <mergeCell ref="Q33:Q34"/>
    <mergeCell ref="R33:R34"/>
    <mergeCell ref="S33:S34"/>
    <mergeCell ref="T33:T34"/>
    <mergeCell ref="U33:U34"/>
    <mergeCell ref="W33:W34"/>
    <mergeCell ref="X33:X34"/>
    <mergeCell ref="Y33:Y34"/>
    <mergeCell ref="Z33:Z34"/>
    <mergeCell ref="AA33:AA34"/>
    <mergeCell ref="AC33:AC34"/>
    <mergeCell ref="AD33:AD34"/>
    <mergeCell ref="AE33:AE34"/>
    <mergeCell ref="AF33:AF34"/>
    <mergeCell ref="AG33:AG34"/>
    <mergeCell ref="H31:H32"/>
    <mergeCell ref="K31:K32"/>
    <mergeCell ref="L31:L32"/>
    <mergeCell ref="M31:M32"/>
    <mergeCell ref="N31:N32"/>
    <mergeCell ref="E35:E36"/>
    <mergeCell ref="F35:F36"/>
    <mergeCell ref="G35:G36"/>
    <mergeCell ref="H35:H36"/>
    <mergeCell ref="K35:K36"/>
    <mergeCell ref="L35:L36"/>
    <mergeCell ref="M35:M36"/>
    <mergeCell ref="N35:N36"/>
    <mergeCell ref="Q35:Q36"/>
    <mergeCell ref="R35:R36"/>
    <mergeCell ref="S35:S36"/>
    <mergeCell ref="T35:T36"/>
    <mergeCell ref="U35:U36"/>
    <mergeCell ref="W35:W36"/>
    <mergeCell ref="X35:X36"/>
    <mergeCell ref="Y35:Y36"/>
    <mergeCell ref="Z35:Z36"/>
    <mergeCell ref="E37:E38"/>
    <mergeCell ref="F37:F38"/>
    <mergeCell ref="G37:G38"/>
    <mergeCell ref="H37:H38"/>
    <mergeCell ref="I37:I38"/>
    <mergeCell ref="K37:K38"/>
    <mergeCell ref="L37:L38"/>
    <mergeCell ref="M37:M38"/>
    <mergeCell ref="N37:N38"/>
    <mergeCell ref="Q37:Q38"/>
    <mergeCell ref="R37:R38"/>
    <mergeCell ref="S37:S38"/>
    <mergeCell ref="T37:T38"/>
    <mergeCell ref="U37:U38"/>
    <mergeCell ref="W37:W38"/>
    <mergeCell ref="X37:X38"/>
    <mergeCell ref="Y37:Y38"/>
    <mergeCell ref="R59:R60"/>
    <mergeCell ref="S59:S60"/>
    <mergeCell ref="T59:T60"/>
    <mergeCell ref="W59:W60"/>
    <mergeCell ref="X59:X60"/>
    <mergeCell ref="Y59:Y60"/>
    <mergeCell ref="Z59:Z60"/>
    <mergeCell ref="AC59:AC60"/>
    <mergeCell ref="AD59:AD60"/>
    <mergeCell ref="AE59:AE60"/>
    <mergeCell ref="AA35:AA36"/>
    <mergeCell ref="AC35:AC36"/>
    <mergeCell ref="AD35:AD36"/>
    <mergeCell ref="AE35:AE36"/>
    <mergeCell ref="AF35:AF36"/>
    <mergeCell ref="AG35:AG36"/>
    <mergeCell ref="AB35:AB36"/>
    <mergeCell ref="Z37:Z38"/>
    <mergeCell ref="AA37:AA38"/>
    <mergeCell ref="AC37:AC38"/>
    <mergeCell ref="AD37:AD38"/>
    <mergeCell ref="AE37:AE38"/>
    <mergeCell ref="AF37:AF38"/>
    <mergeCell ref="AG37:AG38"/>
    <mergeCell ref="AD54:AD55"/>
    <mergeCell ref="AE54:AE55"/>
    <mergeCell ref="AF54:AF55"/>
    <mergeCell ref="S50:S51"/>
    <mergeCell ref="T50:T51"/>
    <mergeCell ref="W50:W51"/>
    <mergeCell ref="X50:X51"/>
    <mergeCell ref="Y50:Y51"/>
    <mergeCell ref="X63:X64"/>
    <mergeCell ref="Y63:Y64"/>
    <mergeCell ref="Z63:Z64"/>
    <mergeCell ref="AC63:AC64"/>
    <mergeCell ref="AF59:AF60"/>
    <mergeCell ref="E61:E62"/>
    <mergeCell ref="F61:F62"/>
    <mergeCell ref="G61:G62"/>
    <mergeCell ref="H61:H62"/>
    <mergeCell ref="K61:K62"/>
    <mergeCell ref="L61:L62"/>
    <mergeCell ref="M61:M62"/>
    <mergeCell ref="N61:N62"/>
    <mergeCell ref="Q61:Q62"/>
    <mergeCell ref="R61:R62"/>
    <mergeCell ref="S61:S62"/>
    <mergeCell ref="T61:T62"/>
    <mergeCell ref="W61:W62"/>
    <mergeCell ref="X61:X62"/>
    <mergeCell ref="Y61:Y62"/>
    <mergeCell ref="Z61:Z62"/>
    <mergeCell ref="AC61:AC62"/>
    <mergeCell ref="AD61:AD62"/>
    <mergeCell ref="AE61:AE62"/>
    <mergeCell ref="AF61:AF62"/>
    <mergeCell ref="G59:G60"/>
    <mergeCell ref="H59:H60"/>
    <mergeCell ref="K59:K60"/>
    <mergeCell ref="L59:L60"/>
    <mergeCell ref="M59:M60"/>
    <mergeCell ref="N59:N60"/>
    <mergeCell ref="Q59:Q60"/>
    <mergeCell ref="AD63:AD64"/>
    <mergeCell ref="AE63:AE64"/>
    <mergeCell ref="AF63:AF64"/>
    <mergeCell ref="E65:E66"/>
    <mergeCell ref="F65:F66"/>
    <mergeCell ref="G65:G66"/>
    <mergeCell ref="H65:H66"/>
    <mergeCell ref="K65:K66"/>
    <mergeCell ref="L65:L66"/>
    <mergeCell ref="M65:M66"/>
    <mergeCell ref="N65:N66"/>
    <mergeCell ref="W65:W66"/>
    <mergeCell ref="X65:X66"/>
    <mergeCell ref="Y65:Y66"/>
    <mergeCell ref="Z65:Z66"/>
    <mergeCell ref="AC65:AC66"/>
    <mergeCell ref="AD65:AD66"/>
    <mergeCell ref="AE65:AE66"/>
    <mergeCell ref="AF65:AF66"/>
    <mergeCell ref="E63:E64"/>
    <mergeCell ref="F63:F64"/>
    <mergeCell ref="G63:G64"/>
    <mergeCell ref="H63:H64"/>
    <mergeCell ref="K63:K64"/>
    <mergeCell ref="L63:L64"/>
    <mergeCell ref="M63:M64"/>
    <mergeCell ref="N63:N64"/>
    <mergeCell ref="Q63:Q64"/>
    <mergeCell ref="R63:R64"/>
    <mergeCell ref="S63:S64"/>
    <mergeCell ref="T63:T64"/>
    <mergeCell ref="W63:W64"/>
    <mergeCell ref="AC67:AC68"/>
    <mergeCell ref="AD67:AD68"/>
    <mergeCell ref="AE67:AE68"/>
    <mergeCell ref="AF67:AF68"/>
    <mergeCell ref="E69:E70"/>
    <mergeCell ref="F69:F70"/>
    <mergeCell ref="G69:G70"/>
    <mergeCell ref="H69:H70"/>
    <mergeCell ref="K69:K70"/>
    <mergeCell ref="L69:L70"/>
    <mergeCell ref="M69:M70"/>
    <mergeCell ref="N69:N70"/>
    <mergeCell ref="W69:W70"/>
    <mergeCell ref="X69:X70"/>
    <mergeCell ref="Y69:Y70"/>
    <mergeCell ref="Z69:Z70"/>
    <mergeCell ref="AC69:AC70"/>
    <mergeCell ref="AD69:AD70"/>
    <mergeCell ref="AE69:AE70"/>
    <mergeCell ref="AF69:AF70"/>
    <mergeCell ref="AC71:AC72"/>
    <mergeCell ref="AD71:AD72"/>
    <mergeCell ref="AE71:AE72"/>
    <mergeCell ref="AF71:AF72"/>
    <mergeCell ref="E74:E75"/>
    <mergeCell ref="F74:F75"/>
    <mergeCell ref="G74:G75"/>
    <mergeCell ref="H74:H75"/>
    <mergeCell ref="K74:K75"/>
    <mergeCell ref="L74:L75"/>
    <mergeCell ref="M74:M75"/>
    <mergeCell ref="N74:N75"/>
    <mergeCell ref="W74:W75"/>
    <mergeCell ref="X74:X75"/>
    <mergeCell ref="Y74:Y75"/>
    <mergeCell ref="Z74:Z75"/>
    <mergeCell ref="AC74:AC75"/>
    <mergeCell ref="AD74:AD75"/>
    <mergeCell ref="AE74:AE75"/>
    <mergeCell ref="AF74:AF75"/>
    <mergeCell ref="T78:T79"/>
    <mergeCell ref="W78:W79"/>
    <mergeCell ref="X78:X79"/>
    <mergeCell ref="Y78:Y79"/>
    <mergeCell ref="Z78:Z79"/>
    <mergeCell ref="AC78:AC79"/>
    <mergeCell ref="AD78:AD79"/>
    <mergeCell ref="AE78:AE79"/>
    <mergeCell ref="AF78:AF79"/>
    <mergeCell ref="E83:E84"/>
    <mergeCell ref="F83:F84"/>
    <mergeCell ref="G83:G84"/>
    <mergeCell ref="H83:H84"/>
    <mergeCell ref="K83:K84"/>
    <mergeCell ref="L83:L84"/>
    <mergeCell ref="M83:M84"/>
    <mergeCell ref="N83:N84"/>
    <mergeCell ref="Q83:Q84"/>
    <mergeCell ref="R83:R84"/>
    <mergeCell ref="S83:S84"/>
    <mergeCell ref="T83:T84"/>
    <mergeCell ref="W83:W84"/>
    <mergeCell ref="X83:X84"/>
    <mergeCell ref="Y83:Y84"/>
    <mergeCell ref="Z83:Z84"/>
    <mergeCell ref="AC83:AC84"/>
    <mergeCell ref="AD83:AD84"/>
    <mergeCell ref="AE83:AE84"/>
    <mergeCell ref="AF83:AF84"/>
    <mergeCell ref="J78:J79"/>
    <mergeCell ref="P78:P79"/>
    <mergeCell ref="V78:V79"/>
    <mergeCell ref="E85:E86"/>
    <mergeCell ref="F85:F86"/>
    <mergeCell ref="G85:G86"/>
    <mergeCell ref="H85:H86"/>
    <mergeCell ref="K85:K86"/>
    <mergeCell ref="L85:L86"/>
    <mergeCell ref="M85:M86"/>
    <mergeCell ref="N85:N86"/>
    <mergeCell ref="Q85:Q86"/>
    <mergeCell ref="R85:R86"/>
    <mergeCell ref="S85:S86"/>
    <mergeCell ref="T85:T86"/>
    <mergeCell ref="W85:W86"/>
    <mergeCell ref="X85:X86"/>
    <mergeCell ref="Y85:Y86"/>
    <mergeCell ref="Z85:Z86"/>
    <mergeCell ref="AC85:AC86"/>
    <mergeCell ref="E87:E88"/>
    <mergeCell ref="F87:F88"/>
    <mergeCell ref="G87:G88"/>
    <mergeCell ref="H87:H88"/>
    <mergeCell ref="K87:K88"/>
    <mergeCell ref="L87:L88"/>
    <mergeCell ref="M87:M88"/>
    <mergeCell ref="N87:N88"/>
    <mergeCell ref="Q87:Q88"/>
    <mergeCell ref="R87:R88"/>
    <mergeCell ref="S87:S88"/>
    <mergeCell ref="T87:T88"/>
    <mergeCell ref="W87:W88"/>
    <mergeCell ref="X87:X88"/>
    <mergeCell ref="Y87:Y88"/>
    <mergeCell ref="Z87:Z88"/>
    <mergeCell ref="AC87:AC88"/>
    <mergeCell ref="E89:E90"/>
    <mergeCell ref="F89:F90"/>
    <mergeCell ref="G89:G90"/>
    <mergeCell ref="H89:H90"/>
    <mergeCell ref="K89:K90"/>
    <mergeCell ref="L89:L90"/>
    <mergeCell ref="M89:M90"/>
    <mergeCell ref="N89:N90"/>
    <mergeCell ref="Q89:Q90"/>
    <mergeCell ref="R89:R90"/>
    <mergeCell ref="S89:S90"/>
    <mergeCell ref="T89:T90"/>
    <mergeCell ref="W89:W90"/>
    <mergeCell ref="X89:X90"/>
    <mergeCell ref="Y89:Y90"/>
    <mergeCell ref="Z89:Z90"/>
    <mergeCell ref="AC89:AC90"/>
    <mergeCell ref="J89:J90"/>
    <mergeCell ref="P89:P90"/>
    <mergeCell ref="V89:V90"/>
    <mergeCell ref="AB89:AB90"/>
    <mergeCell ref="AF96:AF97"/>
    <mergeCell ref="E91:E92"/>
    <mergeCell ref="F91:F92"/>
    <mergeCell ref="G91:G92"/>
    <mergeCell ref="H91:H92"/>
    <mergeCell ref="K91:K92"/>
    <mergeCell ref="L91:L92"/>
    <mergeCell ref="M91:M92"/>
    <mergeCell ref="N91:N92"/>
    <mergeCell ref="Q91:Q92"/>
    <mergeCell ref="R91:R92"/>
    <mergeCell ref="S91:S92"/>
    <mergeCell ref="T91:T92"/>
    <mergeCell ref="W91:W92"/>
    <mergeCell ref="X91:X92"/>
    <mergeCell ref="Y91:Y92"/>
    <mergeCell ref="Z91:Z92"/>
    <mergeCell ref="AC91:AC92"/>
    <mergeCell ref="R98:R99"/>
    <mergeCell ref="S98:S99"/>
    <mergeCell ref="T98:T99"/>
    <mergeCell ref="W98:W99"/>
    <mergeCell ref="X98:X99"/>
    <mergeCell ref="Y98:Y99"/>
    <mergeCell ref="Z98:Z99"/>
    <mergeCell ref="AC98:AC99"/>
    <mergeCell ref="W93:W94"/>
    <mergeCell ref="X93:X94"/>
    <mergeCell ref="Y93:Y94"/>
    <mergeCell ref="Z93:Z94"/>
    <mergeCell ref="AC93:AC94"/>
    <mergeCell ref="AD93:AD94"/>
    <mergeCell ref="AE93:AE94"/>
    <mergeCell ref="AF93:AF94"/>
    <mergeCell ref="H96:H97"/>
    <mergeCell ref="K96:K97"/>
    <mergeCell ref="L96:L97"/>
    <mergeCell ref="M96:M97"/>
    <mergeCell ref="N96:N97"/>
    <mergeCell ref="Q96:Q97"/>
    <mergeCell ref="R96:R97"/>
    <mergeCell ref="S96:S97"/>
    <mergeCell ref="T96:T97"/>
    <mergeCell ref="W96:W97"/>
    <mergeCell ref="X96:X97"/>
    <mergeCell ref="Y96:Y97"/>
    <mergeCell ref="Z96:Z97"/>
    <mergeCell ref="AC96:AC97"/>
    <mergeCell ref="AD96:AD97"/>
    <mergeCell ref="AE96:AE97"/>
    <mergeCell ref="AD98:AD99"/>
    <mergeCell ref="AE98:AE99"/>
    <mergeCell ref="AF98:AF99"/>
    <mergeCell ref="E100:E101"/>
    <mergeCell ref="F100:F101"/>
    <mergeCell ref="G100:G101"/>
    <mergeCell ref="H100:H101"/>
    <mergeCell ref="K100:K101"/>
    <mergeCell ref="L100:L101"/>
    <mergeCell ref="M100:M101"/>
    <mergeCell ref="N100:N101"/>
    <mergeCell ref="Q100:Q101"/>
    <mergeCell ref="R100:R101"/>
    <mergeCell ref="S100:S101"/>
    <mergeCell ref="T100:T101"/>
    <mergeCell ref="W100:W101"/>
    <mergeCell ref="X100:X101"/>
    <mergeCell ref="Y100:Y101"/>
    <mergeCell ref="Z100:Z101"/>
    <mergeCell ref="AC100:AC101"/>
    <mergeCell ref="AD100:AD101"/>
    <mergeCell ref="AE100:AE101"/>
    <mergeCell ref="AF100:AF101"/>
    <mergeCell ref="E98:E99"/>
    <mergeCell ref="F98:F99"/>
    <mergeCell ref="G98:G99"/>
    <mergeCell ref="H98:H99"/>
    <mergeCell ref="K98:K99"/>
    <mergeCell ref="L98:L99"/>
    <mergeCell ref="M98:M99"/>
    <mergeCell ref="N98:N99"/>
    <mergeCell ref="Q98:Q99"/>
    <mergeCell ref="E102:E103"/>
    <mergeCell ref="F102:F103"/>
    <mergeCell ref="G102:G103"/>
    <mergeCell ref="H102:H103"/>
    <mergeCell ref="K102:K103"/>
    <mergeCell ref="L102:L103"/>
    <mergeCell ref="M102:M103"/>
    <mergeCell ref="N102:N103"/>
    <mergeCell ref="Q102:Q103"/>
    <mergeCell ref="R102:R103"/>
    <mergeCell ref="S102:S103"/>
    <mergeCell ref="T102:T103"/>
    <mergeCell ref="W102:W103"/>
    <mergeCell ref="X102:X103"/>
    <mergeCell ref="Y102:Y103"/>
    <mergeCell ref="Z102:Z103"/>
    <mergeCell ref="AC102:AC103"/>
    <mergeCell ref="E104:E105"/>
    <mergeCell ref="F104:F105"/>
    <mergeCell ref="G104:G105"/>
    <mergeCell ref="H104:H105"/>
    <mergeCell ref="K104:K105"/>
    <mergeCell ref="L104:L105"/>
    <mergeCell ref="M104:M105"/>
    <mergeCell ref="N104:N105"/>
    <mergeCell ref="Q104:Q105"/>
    <mergeCell ref="R104:R105"/>
    <mergeCell ref="S104:S105"/>
    <mergeCell ref="T104:T105"/>
    <mergeCell ref="W104:W105"/>
    <mergeCell ref="X104:X105"/>
    <mergeCell ref="Y104:Y105"/>
    <mergeCell ref="Z104:Z105"/>
    <mergeCell ref="AC104:AC105"/>
    <mergeCell ref="J104:J105"/>
    <mergeCell ref="P104:P105"/>
    <mergeCell ref="V104:V105"/>
    <mergeCell ref="AB104:AB105"/>
    <mergeCell ref="E106:E107"/>
    <mergeCell ref="F106:F107"/>
    <mergeCell ref="G106:G107"/>
    <mergeCell ref="H106:H107"/>
    <mergeCell ref="K106:K107"/>
    <mergeCell ref="L106:L107"/>
    <mergeCell ref="M106:M107"/>
    <mergeCell ref="N106:N107"/>
    <mergeCell ref="Q106:Q107"/>
    <mergeCell ref="R106:R107"/>
    <mergeCell ref="S106:S107"/>
    <mergeCell ref="T106:T107"/>
    <mergeCell ref="W106:W107"/>
    <mergeCell ref="X106:X107"/>
    <mergeCell ref="Y106:Y107"/>
    <mergeCell ref="Z106:Z107"/>
    <mergeCell ref="AC106:AC107"/>
    <mergeCell ref="E110:E111"/>
    <mergeCell ref="F110:F111"/>
    <mergeCell ref="G110:G111"/>
    <mergeCell ref="H110:H111"/>
    <mergeCell ref="K110:K111"/>
    <mergeCell ref="L110:L111"/>
    <mergeCell ref="M110:M111"/>
    <mergeCell ref="N110:N111"/>
    <mergeCell ref="Q110:Q111"/>
    <mergeCell ref="R110:R111"/>
    <mergeCell ref="S110:S111"/>
    <mergeCell ref="T110:T111"/>
    <mergeCell ref="W110:W111"/>
    <mergeCell ref="X110:X111"/>
    <mergeCell ref="Y110:Y111"/>
    <mergeCell ref="Z110:Z111"/>
    <mergeCell ref="AC110:AC111"/>
    <mergeCell ref="E112:E113"/>
    <mergeCell ref="F112:F113"/>
    <mergeCell ref="G112:G113"/>
    <mergeCell ref="H112:H113"/>
    <mergeCell ref="K112:K113"/>
    <mergeCell ref="L112:L113"/>
    <mergeCell ref="M112:M113"/>
    <mergeCell ref="N112:N113"/>
    <mergeCell ref="Q112:Q113"/>
    <mergeCell ref="R112:R113"/>
    <mergeCell ref="S112:S113"/>
    <mergeCell ref="T112:T113"/>
    <mergeCell ref="W112:W113"/>
    <mergeCell ref="X112:X113"/>
    <mergeCell ref="Y112:Y113"/>
    <mergeCell ref="Z112:Z113"/>
    <mergeCell ref="AC112:AC113"/>
    <mergeCell ref="E114:E115"/>
    <mergeCell ref="F114:F115"/>
    <mergeCell ref="G114:G115"/>
    <mergeCell ref="H114:H115"/>
    <mergeCell ref="K114:K115"/>
    <mergeCell ref="L114:L115"/>
    <mergeCell ref="M114:M115"/>
    <mergeCell ref="N114:N115"/>
    <mergeCell ref="Q114:Q115"/>
    <mergeCell ref="R114:R115"/>
    <mergeCell ref="S114:S115"/>
    <mergeCell ref="T114:T115"/>
    <mergeCell ref="W114:W115"/>
    <mergeCell ref="X114:X115"/>
    <mergeCell ref="Y114:Y115"/>
    <mergeCell ref="Z114:Z115"/>
    <mergeCell ref="AC114:AC115"/>
    <mergeCell ref="J114:J115"/>
    <mergeCell ref="P114:P115"/>
    <mergeCell ref="V114:V115"/>
    <mergeCell ref="AB114:AB115"/>
    <mergeCell ref="E116:E117"/>
    <mergeCell ref="F116:F117"/>
    <mergeCell ref="G116:G117"/>
    <mergeCell ref="H116:H117"/>
    <mergeCell ref="K116:K117"/>
    <mergeCell ref="L116:L117"/>
    <mergeCell ref="M116:M117"/>
    <mergeCell ref="N116:N117"/>
    <mergeCell ref="Q116:Q117"/>
    <mergeCell ref="R116:R117"/>
    <mergeCell ref="S116:S117"/>
    <mergeCell ref="T116:T117"/>
    <mergeCell ref="W116:W117"/>
    <mergeCell ref="X116:X117"/>
    <mergeCell ref="Y116:Y117"/>
    <mergeCell ref="Z116:Z117"/>
    <mergeCell ref="AC116:AC117"/>
    <mergeCell ref="AE118:AE119"/>
    <mergeCell ref="AF118:AF119"/>
    <mergeCell ref="E120:E121"/>
    <mergeCell ref="F120:F121"/>
    <mergeCell ref="G120:G121"/>
    <mergeCell ref="H120:H121"/>
    <mergeCell ref="K120:K121"/>
    <mergeCell ref="L120:L121"/>
    <mergeCell ref="M120:M121"/>
    <mergeCell ref="N120:N121"/>
    <mergeCell ref="Q120:Q121"/>
    <mergeCell ref="R120:R121"/>
    <mergeCell ref="S120:S121"/>
    <mergeCell ref="T120:T121"/>
    <mergeCell ref="W120:W121"/>
    <mergeCell ref="X120:X121"/>
    <mergeCell ref="Y120:Y121"/>
    <mergeCell ref="Z120:Z121"/>
    <mergeCell ref="AC120:AC121"/>
    <mergeCell ref="AD120:AD121"/>
    <mergeCell ref="AE120:AE121"/>
    <mergeCell ref="AF120:AF121"/>
    <mergeCell ref="E118:E119"/>
    <mergeCell ref="F118:F119"/>
    <mergeCell ref="G118:G119"/>
    <mergeCell ref="H118:H119"/>
    <mergeCell ref="K118:K119"/>
    <mergeCell ref="L118:L119"/>
    <mergeCell ref="M118:M119"/>
    <mergeCell ref="N118:N119"/>
    <mergeCell ref="Q118:Q119"/>
    <mergeCell ref="R118:R119"/>
    <mergeCell ref="F122:F123"/>
    <mergeCell ref="G122:G123"/>
    <mergeCell ref="H122:H123"/>
    <mergeCell ref="K122:K123"/>
    <mergeCell ref="L122:L123"/>
    <mergeCell ref="M122:M123"/>
    <mergeCell ref="N122:N123"/>
    <mergeCell ref="Q122:Q123"/>
    <mergeCell ref="R122:R123"/>
    <mergeCell ref="S122:S123"/>
    <mergeCell ref="T122:T123"/>
    <mergeCell ref="W122:W123"/>
    <mergeCell ref="X122:X123"/>
    <mergeCell ref="Y122:Y123"/>
    <mergeCell ref="Z122:Z123"/>
    <mergeCell ref="AC122:AC123"/>
    <mergeCell ref="AD118:AD119"/>
    <mergeCell ref="S118:S119"/>
    <mergeCell ref="T118:T119"/>
    <mergeCell ref="W118:W119"/>
    <mergeCell ref="X118:X119"/>
    <mergeCell ref="Y118:Y119"/>
    <mergeCell ref="Z118:Z119"/>
    <mergeCell ref="AC118:AC119"/>
    <mergeCell ref="J122:J123"/>
    <mergeCell ref="P122:P123"/>
    <mergeCell ref="V122:V123"/>
    <mergeCell ref="AB122:AB123"/>
    <mergeCell ref="R155:R156"/>
    <mergeCell ref="S155:S156"/>
    <mergeCell ref="T155:T156"/>
    <mergeCell ref="W155:W156"/>
    <mergeCell ref="X155:X156"/>
    <mergeCell ref="Y155:Y156"/>
    <mergeCell ref="Z155:Z156"/>
    <mergeCell ref="AC155:AC156"/>
    <mergeCell ref="AD122:AD123"/>
    <mergeCell ref="AE122:AE123"/>
    <mergeCell ref="AF122:AF123"/>
    <mergeCell ref="E153:E154"/>
    <mergeCell ref="F153:F154"/>
    <mergeCell ref="G153:G154"/>
    <mergeCell ref="H153:H154"/>
    <mergeCell ref="K153:K154"/>
    <mergeCell ref="L153:L154"/>
    <mergeCell ref="M153:M154"/>
    <mergeCell ref="N153:N154"/>
    <mergeCell ref="Q153:Q154"/>
    <mergeCell ref="R153:R154"/>
    <mergeCell ref="S153:S154"/>
    <mergeCell ref="T153:T154"/>
    <mergeCell ref="W153:W154"/>
    <mergeCell ref="X153:X154"/>
    <mergeCell ref="Y153:Y154"/>
    <mergeCell ref="Z153:Z154"/>
    <mergeCell ref="AC153:AC154"/>
    <mergeCell ref="AD153:AD154"/>
    <mergeCell ref="AE153:AE154"/>
    <mergeCell ref="AF153:AF154"/>
    <mergeCell ref="E122:E123"/>
    <mergeCell ref="AD155:AD156"/>
    <mergeCell ref="AE155:AE156"/>
    <mergeCell ref="AF155:AF156"/>
    <mergeCell ref="E157:E158"/>
    <mergeCell ref="F157:F158"/>
    <mergeCell ref="G157:G158"/>
    <mergeCell ref="H157:H158"/>
    <mergeCell ref="K157:K158"/>
    <mergeCell ref="L157:L158"/>
    <mergeCell ref="M157:M158"/>
    <mergeCell ref="N157:N158"/>
    <mergeCell ref="Q157:Q158"/>
    <mergeCell ref="R157:R158"/>
    <mergeCell ref="S157:S158"/>
    <mergeCell ref="T157:T158"/>
    <mergeCell ref="W157:W158"/>
    <mergeCell ref="X157:X158"/>
    <mergeCell ref="Y157:Y158"/>
    <mergeCell ref="Z157:Z158"/>
    <mergeCell ref="AC157:AC158"/>
    <mergeCell ref="AD157:AD158"/>
    <mergeCell ref="AE157:AE158"/>
    <mergeCell ref="AF157:AF158"/>
    <mergeCell ref="E155:E156"/>
    <mergeCell ref="F155:F156"/>
    <mergeCell ref="G155:G156"/>
    <mergeCell ref="H155:H156"/>
    <mergeCell ref="K155:K156"/>
    <mergeCell ref="L155:L156"/>
    <mergeCell ref="M155:M156"/>
    <mergeCell ref="N155:N156"/>
    <mergeCell ref="Q155:Q156"/>
    <mergeCell ref="E159:E160"/>
    <mergeCell ref="F159:F160"/>
    <mergeCell ref="G159:G160"/>
    <mergeCell ref="H159:H160"/>
    <mergeCell ref="K159:K160"/>
    <mergeCell ref="L159:L160"/>
    <mergeCell ref="M159:M160"/>
    <mergeCell ref="N159:N160"/>
    <mergeCell ref="Q159:Q160"/>
    <mergeCell ref="R159:R160"/>
    <mergeCell ref="S159:S160"/>
    <mergeCell ref="T159:T160"/>
    <mergeCell ref="W159:W160"/>
    <mergeCell ref="X159:X160"/>
    <mergeCell ref="Y159:Y160"/>
    <mergeCell ref="Z159:Z160"/>
    <mergeCell ref="AC159:AC160"/>
    <mergeCell ref="E161:E162"/>
    <mergeCell ref="F161:F162"/>
    <mergeCell ref="G161:G162"/>
    <mergeCell ref="H161:H162"/>
    <mergeCell ref="K161:K162"/>
    <mergeCell ref="L161:L162"/>
    <mergeCell ref="M161:M162"/>
    <mergeCell ref="N161:N162"/>
    <mergeCell ref="Q161:Q162"/>
    <mergeCell ref="R161:R162"/>
    <mergeCell ref="S161:S162"/>
    <mergeCell ref="T161:T162"/>
    <mergeCell ref="W161:W162"/>
    <mergeCell ref="X161:X162"/>
    <mergeCell ref="Y161:Y162"/>
    <mergeCell ref="Z161:Z162"/>
    <mergeCell ref="AC161:AC162"/>
    <mergeCell ref="J161:J162"/>
    <mergeCell ref="P161:P162"/>
    <mergeCell ref="V161:V162"/>
    <mergeCell ref="AB161:AB162"/>
    <mergeCell ref="E165:E166"/>
    <mergeCell ref="F165:F166"/>
    <mergeCell ref="G165:G166"/>
    <mergeCell ref="H165:H166"/>
    <mergeCell ref="K165:K166"/>
    <mergeCell ref="L165:L166"/>
    <mergeCell ref="M165:M166"/>
    <mergeCell ref="N165:N166"/>
    <mergeCell ref="Q165:Q166"/>
    <mergeCell ref="R165:R166"/>
    <mergeCell ref="S165:S166"/>
    <mergeCell ref="T165:T166"/>
    <mergeCell ref="W165:W166"/>
    <mergeCell ref="X165:X166"/>
    <mergeCell ref="Y165:Y166"/>
    <mergeCell ref="Z165:Z166"/>
    <mergeCell ref="AC165:AC166"/>
    <mergeCell ref="E167:E168"/>
    <mergeCell ref="F167:F168"/>
    <mergeCell ref="G167:G168"/>
    <mergeCell ref="H167:H168"/>
    <mergeCell ref="K167:K168"/>
    <mergeCell ref="L167:L168"/>
    <mergeCell ref="M167:M168"/>
    <mergeCell ref="N167:N168"/>
    <mergeCell ref="Q167:Q168"/>
    <mergeCell ref="R167:R168"/>
    <mergeCell ref="S167:S168"/>
    <mergeCell ref="T167:T168"/>
    <mergeCell ref="W167:W168"/>
    <mergeCell ref="X167:X168"/>
    <mergeCell ref="Y167:Y168"/>
    <mergeCell ref="Z167:Z168"/>
    <mergeCell ref="AC167:AC168"/>
    <mergeCell ref="E169:E170"/>
    <mergeCell ref="F169:F170"/>
    <mergeCell ref="G169:G170"/>
    <mergeCell ref="H169:H170"/>
    <mergeCell ref="K169:K170"/>
    <mergeCell ref="L169:L170"/>
    <mergeCell ref="M169:M170"/>
    <mergeCell ref="N169:N170"/>
    <mergeCell ref="Q169:Q170"/>
    <mergeCell ref="R169:R170"/>
    <mergeCell ref="S169:S170"/>
    <mergeCell ref="T169:T170"/>
    <mergeCell ref="W169:W170"/>
    <mergeCell ref="X169:X170"/>
    <mergeCell ref="Y169:Y170"/>
    <mergeCell ref="Z169:Z170"/>
    <mergeCell ref="AC169:AC170"/>
    <mergeCell ref="J169:J170"/>
    <mergeCell ref="P169:P170"/>
    <mergeCell ref="V169:V170"/>
    <mergeCell ref="AB169:AB170"/>
    <mergeCell ref="E171:E172"/>
    <mergeCell ref="F171:F172"/>
    <mergeCell ref="G171:G172"/>
    <mergeCell ref="H171:H172"/>
    <mergeCell ref="K171:K172"/>
    <mergeCell ref="L171:L172"/>
    <mergeCell ref="M171:M172"/>
    <mergeCell ref="N171:N172"/>
    <mergeCell ref="Q171:Q172"/>
    <mergeCell ref="R171:R172"/>
    <mergeCell ref="S171:S172"/>
    <mergeCell ref="T171:T172"/>
    <mergeCell ref="W171:W172"/>
    <mergeCell ref="X171:X172"/>
    <mergeCell ref="Y171:Y172"/>
    <mergeCell ref="Z171:Z172"/>
    <mergeCell ref="AC171:AC172"/>
    <mergeCell ref="E173:E174"/>
    <mergeCell ref="F173:F174"/>
    <mergeCell ref="G173:G174"/>
    <mergeCell ref="H173:H174"/>
    <mergeCell ref="K173:K174"/>
    <mergeCell ref="L173:L174"/>
    <mergeCell ref="M173:M174"/>
    <mergeCell ref="N173:N174"/>
    <mergeCell ref="Q173:Q174"/>
    <mergeCell ref="R173:R174"/>
    <mergeCell ref="S173:S174"/>
    <mergeCell ref="T173:T174"/>
    <mergeCell ref="W173:W174"/>
    <mergeCell ref="X173:X174"/>
    <mergeCell ref="Y173:Y174"/>
    <mergeCell ref="Z173:Z174"/>
    <mergeCell ref="AC173:AC174"/>
    <mergeCell ref="E175:E176"/>
    <mergeCell ref="F175:F176"/>
    <mergeCell ref="G175:G176"/>
    <mergeCell ref="H175:H176"/>
    <mergeCell ref="K175:K176"/>
    <mergeCell ref="L175:L176"/>
    <mergeCell ref="M175:M176"/>
    <mergeCell ref="N175:N176"/>
    <mergeCell ref="Q175:Q176"/>
    <mergeCell ref="R175:R176"/>
    <mergeCell ref="S175:S176"/>
    <mergeCell ref="T175:T176"/>
    <mergeCell ref="W175:W176"/>
    <mergeCell ref="X175:X176"/>
    <mergeCell ref="Y175:Y176"/>
    <mergeCell ref="Z175:Z176"/>
    <mergeCell ref="AC175:AC176"/>
    <mergeCell ref="E177:E178"/>
    <mergeCell ref="F177:F178"/>
    <mergeCell ref="G177:G178"/>
    <mergeCell ref="H177:H178"/>
    <mergeCell ref="K177:K178"/>
    <mergeCell ref="L177:L178"/>
    <mergeCell ref="M177:M178"/>
    <mergeCell ref="N177:N178"/>
    <mergeCell ref="Q177:Q178"/>
    <mergeCell ref="R177:R178"/>
    <mergeCell ref="S177:S178"/>
    <mergeCell ref="T177:T178"/>
    <mergeCell ref="W177:W178"/>
    <mergeCell ref="X177:X178"/>
    <mergeCell ref="Y177:Y178"/>
    <mergeCell ref="Z177:Z178"/>
    <mergeCell ref="AC177:AC178"/>
    <mergeCell ref="J177:J178"/>
    <mergeCell ref="P177:P178"/>
    <mergeCell ref="V177:V178"/>
    <mergeCell ref="AB177:AB178"/>
    <mergeCell ref="E179:E180"/>
    <mergeCell ref="F179:F180"/>
    <mergeCell ref="G179:G180"/>
    <mergeCell ref="H179:H180"/>
    <mergeCell ref="K179:K180"/>
    <mergeCell ref="L179:L180"/>
    <mergeCell ref="M179:M180"/>
    <mergeCell ref="S179:S180"/>
    <mergeCell ref="T179:T180"/>
    <mergeCell ref="W179:W180"/>
    <mergeCell ref="X179:X180"/>
    <mergeCell ref="Y179:Y180"/>
    <mergeCell ref="Z179:Z180"/>
    <mergeCell ref="AC179:AC180"/>
    <mergeCell ref="AD179:AD180"/>
    <mergeCell ref="AE179:AE180"/>
    <mergeCell ref="AF179:AF180"/>
    <mergeCell ref="E181:E182"/>
    <mergeCell ref="F181:F182"/>
    <mergeCell ref="G181:G182"/>
    <mergeCell ref="H181:H182"/>
    <mergeCell ref="K181:K182"/>
    <mergeCell ref="L181:L182"/>
    <mergeCell ref="M181:M182"/>
    <mergeCell ref="N181:N182"/>
    <mergeCell ref="Q181:Q182"/>
    <mergeCell ref="R181:R182"/>
    <mergeCell ref="S181:S182"/>
    <mergeCell ref="T181:T182"/>
    <mergeCell ref="W181:W182"/>
    <mergeCell ref="X181:X182"/>
    <mergeCell ref="Y181:Y182"/>
    <mergeCell ref="Z181:Z182"/>
    <mergeCell ref="AC181:AC182"/>
    <mergeCell ref="E183:E184"/>
    <mergeCell ref="F183:F184"/>
    <mergeCell ref="G183:G184"/>
    <mergeCell ref="H183:H184"/>
    <mergeCell ref="K183:K184"/>
    <mergeCell ref="L183:L184"/>
    <mergeCell ref="M183:M184"/>
    <mergeCell ref="N183:N184"/>
    <mergeCell ref="Q183:Q184"/>
    <mergeCell ref="R183:R184"/>
    <mergeCell ref="S183:S184"/>
    <mergeCell ref="T183:T184"/>
    <mergeCell ref="W183:W184"/>
    <mergeCell ref="X183:X184"/>
    <mergeCell ref="Y183:Y184"/>
    <mergeCell ref="Z183:Z184"/>
    <mergeCell ref="AC183:AC184"/>
    <mergeCell ref="E185:E186"/>
    <mergeCell ref="F185:F186"/>
    <mergeCell ref="G185:G186"/>
    <mergeCell ref="H185:H186"/>
    <mergeCell ref="K185:K186"/>
    <mergeCell ref="L185:L186"/>
    <mergeCell ref="J185:J186"/>
    <mergeCell ref="M185:M186"/>
    <mergeCell ref="N185:N186"/>
    <mergeCell ref="Q185:Q186"/>
    <mergeCell ref="R185:R186"/>
    <mergeCell ref="S185:S186"/>
    <mergeCell ref="T185:T186"/>
    <mergeCell ref="P185:P186"/>
    <mergeCell ref="W185:W186"/>
    <mergeCell ref="X185:X186"/>
    <mergeCell ref="Y185:Y186"/>
    <mergeCell ref="V185:V186"/>
    <mergeCell ref="E187:E188"/>
    <mergeCell ref="F187:F188"/>
    <mergeCell ref="G187:G188"/>
    <mergeCell ref="H187:H188"/>
    <mergeCell ref="K187:K188"/>
    <mergeCell ref="L187:L188"/>
    <mergeCell ref="M187:M188"/>
    <mergeCell ref="N187:N188"/>
    <mergeCell ref="Q187:Q188"/>
    <mergeCell ref="R187:R188"/>
    <mergeCell ref="S187:S188"/>
    <mergeCell ref="T187:T188"/>
    <mergeCell ref="W187:W188"/>
    <mergeCell ref="X187:X188"/>
    <mergeCell ref="Y187:Y188"/>
    <mergeCell ref="Z187:Z188"/>
    <mergeCell ref="AC187:AC188"/>
    <mergeCell ref="E190:E191"/>
    <mergeCell ref="F190:F191"/>
    <mergeCell ref="G190:G191"/>
    <mergeCell ref="H190:H191"/>
    <mergeCell ref="K190:K191"/>
    <mergeCell ref="L190:L191"/>
    <mergeCell ref="J190:J191"/>
    <mergeCell ref="M190:M191"/>
    <mergeCell ref="N190:N191"/>
    <mergeCell ref="Q190:Q191"/>
    <mergeCell ref="R190:R191"/>
    <mergeCell ref="S190:S191"/>
    <mergeCell ref="T190:T191"/>
    <mergeCell ref="P190:P191"/>
    <mergeCell ref="W190:W191"/>
    <mergeCell ref="X190:X191"/>
    <mergeCell ref="Y190:Y191"/>
    <mergeCell ref="E192:E193"/>
    <mergeCell ref="F192:F193"/>
    <mergeCell ref="G192:G193"/>
    <mergeCell ref="H192:H193"/>
    <mergeCell ref="K192:K193"/>
    <mergeCell ref="L192:L193"/>
    <mergeCell ref="M192:M193"/>
    <mergeCell ref="N192:N193"/>
    <mergeCell ref="Q192:Q193"/>
    <mergeCell ref="R192:R193"/>
    <mergeCell ref="S192:S193"/>
    <mergeCell ref="T192:T193"/>
    <mergeCell ref="W192:W193"/>
    <mergeCell ref="X192:X193"/>
    <mergeCell ref="Y192:Y193"/>
    <mergeCell ref="Z192:Z193"/>
    <mergeCell ref="AC192:AC193"/>
    <mergeCell ref="Z239:Z240"/>
    <mergeCell ref="AC239:AC240"/>
    <mergeCell ref="E237:E238"/>
    <mergeCell ref="F237:F238"/>
    <mergeCell ref="G237:G238"/>
    <mergeCell ref="H237:H238"/>
    <mergeCell ref="K237:K238"/>
    <mergeCell ref="L237:L238"/>
    <mergeCell ref="J237:J238"/>
    <mergeCell ref="M237:M238"/>
    <mergeCell ref="N237:N238"/>
    <mergeCell ref="Q237:Q238"/>
    <mergeCell ref="R237:R238"/>
    <mergeCell ref="S237:S238"/>
    <mergeCell ref="T237:T238"/>
    <mergeCell ref="P237:P238"/>
    <mergeCell ref="W237:W238"/>
    <mergeCell ref="X237:X238"/>
    <mergeCell ref="Y237:Y238"/>
    <mergeCell ref="R241:R242"/>
    <mergeCell ref="S241:S242"/>
    <mergeCell ref="T241:T242"/>
    <mergeCell ref="P241:P242"/>
    <mergeCell ref="W241:W242"/>
    <mergeCell ref="X241:X242"/>
    <mergeCell ref="Y241:Y242"/>
    <mergeCell ref="E239:E240"/>
    <mergeCell ref="F239:F240"/>
    <mergeCell ref="G239:G240"/>
    <mergeCell ref="H239:H240"/>
    <mergeCell ref="K239:K240"/>
    <mergeCell ref="L239:L240"/>
    <mergeCell ref="M239:M240"/>
    <mergeCell ref="N239:N240"/>
    <mergeCell ref="Q239:Q240"/>
    <mergeCell ref="R239:R240"/>
    <mergeCell ref="S239:S240"/>
    <mergeCell ref="T239:T240"/>
    <mergeCell ref="W239:W240"/>
    <mergeCell ref="X239:X240"/>
    <mergeCell ref="Y239:Y240"/>
    <mergeCell ref="AE241:AE242"/>
    <mergeCell ref="AF241:AF242"/>
    <mergeCell ref="E243:E244"/>
    <mergeCell ref="F243:F244"/>
    <mergeCell ref="G243:G244"/>
    <mergeCell ref="H243:H244"/>
    <mergeCell ref="K243:K244"/>
    <mergeCell ref="L243:L244"/>
    <mergeCell ref="M243:M244"/>
    <mergeCell ref="N243:N244"/>
    <mergeCell ref="Q243:Q244"/>
    <mergeCell ref="R243:R244"/>
    <mergeCell ref="S243:S244"/>
    <mergeCell ref="T243:T244"/>
    <mergeCell ref="W243:W244"/>
    <mergeCell ref="X243:X244"/>
    <mergeCell ref="Y243:Y244"/>
    <mergeCell ref="Z243:Z244"/>
    <mergeCell ref="AC243:AC244"/>
    <mergeCell ref="AD243:AD244"/>
    <mergeCell ref="AE243:AE244"/>
    <mergeCell ref="AF243:AF244"/>
    <mergeCell ref="E241:E242"/>
    <mergeCell ref="F241:F242"/>
    <mergeCell ref="G241:G242"/>
    <mergeCell ref="H241:H242"/>
    <mergeCell ref="K241:K242"/>
    <mergeCell ref="L241:L242"/>
    <mergeCell ref="J241:J242"/>
    <mergeCell ref="M241:M242"/>
    <mergeCell ref="N241:N242"/>
    <mergeCell ref="Q241:Q242"/>
    <mergeCell ref="N247:N248"/>
    <mergeCell ref="Q247:Q248"/>
    <mergeCell ref="R247:R248"/>
    <mergeCell ref="S247:S248"/>
    <mergeCell ref="T247:T248"/>
    <mergeCell ref="W247:W248"/>
    <mergeCell ref="X247:X248"/>
    <mergeCell ref="Y247:Y248"/>
    <mergeCell ref="Z247:Z248"/>
    <mergeCell ref="AC247:AC248"/>
    <mergeCell ref="AD247:AD248"/>
    <mergeCell ref="AE247:AE248"/>
    <mergeCell ref="AF247:AF248"/>
    <mergeCell ref="E245:E246"/>
    <mergeCell ref="F245:F246"/>
    <mergeCell ref="G245:G246"/>
    <mergeCell ref="H245:H246"/>
    <mergeCell ref="K245:K246"/>
    <mergeCell ref="L245:L246"/>
    <mergeCell ref="J245:J246"/>
    <mergeCell ref="M245:M246"/>
    <mergeCell ref="N245:N246"/>
    <mergeCell ref="Q245:Q246"/>
    <mergeCell ref="R245:R246"/>
    <mergeCell ref="S245:S246"/>
    <mergeCell ref="T245:T246"/>
    <mergeCell ref="P245:P246"/>
    <mergeCell ref="W245:W246"/>
    <mergeCell ref="X245:X246"/>
    <mergeCell ref="Y245:Y246"/>
    <mergeCell ref="J247:J248"/>
    <mergeCell ref="P247:P248"/>
    <mergeCell ref="AD253:AD254"/>
    <mergeCell ref="AE253:AE254"/>
    <mergeCell ref="AF253:AF254"/>
    <mergeCell ref="E249:E250"/>
    <mergeCell ref="F249:F250"/>
    <mergeCell ref="G249:G250"/>
    <mergeCell ref="H249:H250"/>
    <mergeCell ref="K249:K250"/>
    <mergeCell ref="L249:L250"/>
    <mergeCell ref="S249:S250"/>
    <mergeCell ref="T249:T250"/>
    <mergeCell ref="W249:W250"/>
    <mergeCell ref="X249:X250"/>
    <mergeCell ref="Y249:Y250"/>
    <mergeCell ref="Z249:Z250"/>
    <mergeCell ref="AC249:AC250"/>
    <mergeCell ref="AD249:AD250"/>
    <mergeCell ref="AE249:AE250"/>
    <mergeCell ref="AF249:AF250"/>
    <mergeCell ref="E251:E252"/>
    <mergeCell ref="F251:F252"/>
    <mergeCell ref="G251:G252"/>
    <mergeCell ref="H251:H252"/>
    <mergeCell ref="K251:K252"/>
    <mergeCell ref="L251:L252"/>
    <mergeCell ref="M251:M252"/>
    <mergeCell ref="N251:N252"/>
    <mergeCell ref="Q251:Q252"/>
    <mergeCell ref="R251:R252"/>
    <mergeCell ref="S251:S252"/>
    <mergeCell ref="T251:T252"/>
    <mergeCell ref="W251:W252"/>
    <mergeCell ref="E253:E254"/>
    <mergeCell ref="F253:F254"/>
    <mergeCell ref="G253:G254"/>
    <mergeCell ref="H253:H254"/>
    <mergeCell ref="K253:K254"/>
    <mergeCell ref="L253:L254"/>
    <mergeCell ref="M253:M254"/>
    <mergeCell ref="N253:N254"/>
    <mergeCell ref="Q253:Q254"/>
    <mergeCell ref="R253:R254"/>
    <mergeCell ref="S253:S254"/>
    <mergeCell ref="T253:T254"/>
    <mergeCell ref="W253:W254"/>
    <mergeCell ref="X253:X254"/>
    <mergeCell ref="Y253:Y254"/>
    <mergeCell ref="Z253:Z254"/>
    <mergeCell ref="AC253:AC254"/>
    <mergeCell ref="E198:E199"/>
    <mergeCell ref="F198:F199"/>
    <mergeCell ref="G198:G199"/>
    <mergeCell ref="H198:H199"/>
    <mergeCell ref="E200:E201"/>
    <mergeCell ref="F200:F201"/>
    <mergeCell ref="G200:G201"/>
    <mergeCell ref="H200:H201"/>
    <mergeCell ref="E202:E203"/>
    <mergeCell ref="F202:F203"/>
    <mergeCell ref="G202:G203"/>
    <mergeCell ref="H202:H203"/>
    <mergeCell ref="H204:H205"/>
    <mergeCell ref="AC251:AC252"/>
    <mergeCell ref="AD251:AD252"/>
    <mergeCell ref="AE251:AE252"/>
    <mergeCell ref="AF251:AF252"/>
    <mergeCell ref="X251:X252"/>
    <mergeCell ref="Y251:Y252"/>
    <mergeCell ref="Z251:Z252"/>
    <mergeCell ref="Z245:Z246"/>
    <mergeCell ref="AC245:AC246"/>
    <mergeCell ref="AD245:AD246"/>
    <mergeCell ref="AE245:AE246"/>
    <mergeCell ref="AF245:AF246"/>
    <mergeCell ref="E247:E248"/>
    <mergeCell ref="F247:F248"/>
    <mergeCell ref="G247:G248"/>
    <mergeCell ref="H247:H248"/>
    <mergeCell ref="K247:K248"/>
    <mergeCell ref="L247:L248"/>
    <mergeCell ref="M247:M248"/>
    <mergeCell ref="E206:E207"/>
    <mergeCell ref="F206:F207"/>
    <mergeCell ref="G206:G207"/>
    <mergeCell ref="H206:H207"/>
    <mergeCell ref="E208:E209"/>
    <mergeCell ref="F208:F209"/>
    <mergeCell ref="G208:G209"/>
    <mergeCell ref="H208:H209"/>
    <mergeCell ref="E210:E211"/>
    <mergeCell ref="F210:F211"/>
    <mergeCell ref="G210:G211"/>
    <mergeCell ref="H210:H211"/>
    <mergeCell ref="K196:K197"/>
    <mergeCell ref="L196:L197"/>
    <mergeCell ref="K200:K201"/>
    <mergeCell ref="L200:L201"/>
    <mergeCell ref="K204:K205"/>
    <mergeCell ref="L204:L205"/>
    <mergeCell ref="K198:K199"/>
    <mergeCell ref="L198:L199"/>
    <mergeCell ref="K202:K203"/>
    <mergeCell ref="L202:L203"/>
    <mergeCell ref="K206:K207"/>
    <mergeCell ref="L206:L207"/>
    <mergeCell ref="K208:K209"/>
    <mergeCell ref="L208:L209"/>
    <mergeCell ref="K210:K211"/>
    <mergeCell ref="L210:L211"/>
    <mergeCell ref="E196:E197"/>
    <mergeCell ref="F196:F197"/>
    <mergeCell ref="G196:G197"/>
    <mergeCell ref="H196:H197"/>
    <mergeCell ref="S196:S197"/>
    <mergeCell ref="T196:T197"/>
    <mergeCell ref="Q198:Q199"/>
    <mergeCell ref="R198:R199"/>
    <mergeCell ref="S198:S199"/>
    <mergeCell ref="T198:T199"/>
    <mergeCell ref="Q200:Q201"/>
    <mergeCell ref="R200:R201"/>
    <mergeCell ref="S200:S201"/>
    <mergeCell ref="T200:T201"/>
    <mergeCell ref="Q202:Q203"/>
    <mergeCell ref="R202:R203"/>
    <mergeCell ref="S202:S203"/>
    <mergeCell ref="T202:T203"/>
    <mergeCell ref="Q204:Q205"/>
    <mergeCell ref="R204:R205"/>
    <mergeCell ref="S204:S205"/>
    <mergeCell ref="T204:T205"/>
    <mergeCell ref="S208:S209"/>
    <mergeCell ref="T208:T209"/>
    <mergeCell ref="Q210:Q211"/>
    <mergeCell ref="R210:R211"/>
    <mergeCell ref="S210:S211"/>
    <mergeCell ref="T210:T211"/>
    <mergeCell ref="W196:W197"/>
    <mergeCell ref="X196:X197"/>
    <mergeCell ref="Y196:Y197"/>
    <mergeCell ref="Z196:Z197"/>
    <mergeCell ref="W198:W199"/>
    <mergeCell ref="X198:X199"/>
    <mergeCell ref="Y198:Y199"/>
    <mergeCell ref="Z198:Z199"/>
    <mergeCell ref="W200:W201"/>
    <mergeCell ref="X200:X201"/>
    <mergeCell ref="Y200:Y201"/>
    <mergeCell ref="Z200:Z201"/>
    <mergeCell ref="W202:W203"/>
    <mergeCell ref="X202:X203"/>
    <mergeCell ref="Y202:Y203"/>
    <mergeCell ref="Z202:Z203"/>
    <mergeCell ref="W204:W205"/>
    <mergeCell ref="X204:X205"/>
    <mergeCell ref="Y204:Y205"/>
    <mergeCell ref="Z204:Z205"/>
    <mergeCell ref="W206:W207"/>
    <mergeCell ref="X206:X207"/>
    <mergeCell ref="Y206:Y207"/>
    <mergeCell ref="Z206:Z207"/>
    <mergeCell ref="W208:W209"/>
    <mergeCell ref="X208:X209"/>
    <mergeCell ref="Y208:Y209"/>
    <mergeCell ref="Z208:Z209"/>
    <mergeCell ref="W210:W211"/>
    <mergeCell ref="X210:X211"/>
    <mergeCell ref="Y210:Y211"/>
    <mergeCell ref="Z210:Z211"/>
    <mergeCell ref="AC196:AC197"/>
    <mergeCell ref="AD196:AD197"/>
    <mergeCell ref="AE196:AE197"/>
    <mergeCell ref="AF196:AF197"/>
    <mergeCell ref="AC198:AC199"/>
    <mergeCell ref="AD198:AD199"/>
    <mergeCell ref="AE198:AE199"/>
    <mergeCell ref="AF198:AF199"/>
    <mergeCell ref="AC200:AC201"/>
    <mergeCell ref="AD200:AD201"/>
    <mergeCell ref="AE200:AE201"/>
    <mergeCell ref="AF200:AF201"/>
    <mergeCell ref="AC202:AC203"/>
    <mergeCell ref="AD202:AD203"/>
    <mergeCell ref="AE202:AE203"/>
    <mergeCell ref="AF202:AF203"/>
    <mergeCell ref="AC204:AC205"/>
    <mergeCell ref="AD204:AD205"/>
    <mergeCell ref="AE204:AE205"/>
    <mergeCell ref="AF204:AF205"/>
    <mergeCell ref="AC206:AC207"/>
    <mergeCell ref="AD206:AD207"/>
    <mergeCell ref="AE206:AE207"/>
    <mergeCell ref="AF206:AF207"/>
    <mergeCell ref="AC208:AC209"/>
    <mergeCell ref="AD208:AD209"/>
    <mergeCell ref="AE208:AE209"/>
    <mergeCell ref="AF208:AF209"/>
    <mergeCell ref="AC210:AC211"/>
    <mergeCell ref="AD210:AD211"/>
    <mergeCell ref="AE210:AE211"/>
    <mergeCell ref="AF210:AF211"/>
    <mergeCell ref="E213:E214"/>
    <mergeCell ref="F213:F214"/>
    <mergeCell ref="G213:G214"/>
    <mergeCell ref="H213:H214"/>
    <mergeCell ref="E215:E216"/>
    <mergeCell ref="F215:F216"/>
    <mergeCell ref="G215:G216"/>
    <mergeCell ref="H215:H216"/>
    <mergeCell ref="E217:E218"/>
    <mergeCell ref="F217:F218"/>
    <mergeCell ref="G217:G218"/>
    <mergeCell ref="H217:H218"/>
    <mergeCell ref="K213:K214"/>
    <mergeCell ref="L213:L214"/>
    <mergeCell ref="K215:K216"/>
    <mergeCell ref="L215:L216"/>
    <mergeCell ref="K217:K218"/>
    <mergeCell ref="L217:L218"/>
    <mergeCell ref="N217:N218"/>
    <mergeCell ref="Q213:Q214"/>
    <mergeCell ref="R213:R214"/>
    <mergeCell ref="S213:S214"/>
    <mergeCell ref="T213:T214"/>
    <mergeCell ref="Q215:Q216"/>
    <mergeCell ref="R215:R216"/>
    <mergeCell ref="S215:S216"/>
    <mergeCell ref="W215:W216"/>
    <mergeCell ref="X215:X216"/>
    <mergeCell ref="Y215:Y216"/>
    <mergeCell ref="Z215:Z216"/>
    <mergeCell ref="W213:W214"/>
    <mergeCell ref="X213:X214"/>
    <mergeCell ref="Y213:Y214"/>
    <mergeCell ref="AC217:AC218"/>
    <mergeCell ref="AD217:AD218"/>
    <mergeCell ref="AE217:AE218"/>
    <mergeCell ref="AF217:AF218"/>
    <mergeCell ref="AC213:AC214"/>
    <mergeCell ref="AD213:AD214"/>
    <mergeCell ref="AE213:AE214"/>
    <mergeCell ref="AF213:AF214"/>
    <mergeCell ref="AC215:AC216"/>
    <mergeCell ref="AD215:AD21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27</vt:i4>
      </vt:variant>
    </vt:vector>
  </HeadingPairs>
  <TitlesOfParts>
    <vt:vector size="27" baseType="lpstr">
      <vt:lpstr>Bacau</vt:lpstr>
      <vt:lpstr>Buhusi</vt:lpstr>
      <vt:lpstr>Moinesti</vt:lpstr>
      <vt:lpstr>Darmanesti</vt:lpstr>
      <vt:lpstr>Sarata</vt:lpstr>
      <vt:lpstr>Tg Trotus</vt:lpstr>
      <vt:lpstr>Bogdanesti</vt:lpstr>
      <vt:lpstr>Targu Ocna</vt:lpstr>
      <vt:lpstr>Ardeoani</vt:lpstr>
      <vt:lpstr>Casin</vt:lpstr>
      <vt:lpstr>Cleja</vt:lpstr>
      <vt:lpstr>Cotofanesti</vt:lpstr>
      <vt:lpstr>Dofteana</vt:lpstr>
      <vt:lpstr>Faraoani</vt:lpstr>
      <vt:lpstr>Filipesti</vt:lpstr>
      <vt:lpstr>Hemeius</vt:lpstr>
      <vt:lpstr>Margineni</vt:lpstr>
      <vt:lpstr>Magiresti</vt:lpstr>
      <vt:lpstr>Letea Veche</vt:lpstr>
      <vt:lpstr>Poduri</vt:lpstr>
      <vt:lpstr>Prajesti</vt:lpstr>
      <vt:lpstr>Tamasi</vt:lpstr>
      <vt:lpstr>Tatarasti</vt:lpstr>
      <vt:lpstr>Traian</vt:lpstr>
      <vt:lpstr>Stefan cel Mare</vt:lpstr>
      <vt:lpstr>Saucesti</vt:lpstr>
      <vt:lpstr>Palanca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 Mereacre</dc:creator>
  <cp:lastModifiedBy>User</cp:lastModifiedBy>
  <cp:lastPrinted>2026-10-19T14:00:53Z</cp:lastPrinted>
  <dcterms:created xsi:type="dcterms:W3CDTF">2016-05-16T08:18:20Z</dcterms:created>
  <dcterms:modified xsi:type="dcterms:W3CDTF">2026-10-21T08:27:05Z</dcterms:modified>
</cp:coreProperties>
</file>